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charts/chart7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beaucag/Avaratec Desktop/public_html/Classes/ChEThermoBeaucage/Chapter 14 Excel Sheets/"/>
    </mc:Choice>
  </mc:AlternateContent>
  <xr:revisionPtr revIDLastSave="0" documentId="10_ncr:8100000_{ABAE14FC-CB37-A346-AE39-DC3B4888596E}" xr6:coauthVersionLast="34" xr6:coauthVersionMax="34" xr10:uidLastSave="{00000000-0000-0000-0000-000000000000}"/>
  <bookViews>
    <workbookView xWindow="0" yWindow="460" windowWidth="25280" windowHeight="15360" tabRatio="833" firstSheet="5" activeTab="9" xr2:uid="{00000000-000D-0000-FFFF-FFFF00000000}"/>
  </bookViews>
  <sheets>
    <sheet name="Instructions" sheetId="1" r:id="rId1"/>
    <sheet name="Margules" sheetId="14" r:id="rId2"/>
    <sheet name="Regular" sheetId="3" r:id="rId3"/>
    <sheet name="NRTL" sheetId="18" r:id="rId4"/>
    <sheet name="NRTL5" sheetId="17" r:id="rId5"/>
    <sheet name="UNIQUAC" sheetId="4" r:id="rId6"/>
    <sheet name="UNIQUAC5" sheetId="5" r:id="rId7"/>
    <sheet name="UNIFAC (VLE)" sheetId="15" r:id="rId8"/>
    <sheet name="aij-UNIFAC (VLE)" sheetId="16" r:id="rId9"/>
    <sheet name="UNIFAC (LLEa)" sheetId="9" r:id="rId10"/>
    <sheet name="UNIFAC (LLEb)" sheetId="12" r:id="rId11"/>
    <sheet name="aij-UNIFAC (LLE)" sheetId="10" r:id="rId12"/>
    <sheet name="revisions" sheetId="19" r:id="rId13"/>
    <sheet name="LLE" sheetId="11" r:id="rId14"/>
  </sheets>
  <definedNames>
    <definedName name="__123Graph_A1" localSheetId="1" hidden="1">Margules!$E$10:$E$30</definedName>
    <definedName name="__123Graph_B" localSheetId="1" hidden="1">Margules!$G$10:$G$30</definedName>
    <definedName name="__123Graph_B1" localSheetId="1" hidden="1">Margules!$F$10:$F$30</definedName>
    <definedName name="__123Graph_B2" localSheetId="1" hidden="1">Margules!$G$10:$G$30</definedName>
    <definedName name="__123Graph_X" localSheetId="1" hidden="1">Margules!$A$10:$A$30</definedName>
    <definedName name="__123Graph_X1" localSheetId="1" hidden="1">Margules!$A$10:$A$30</definedName>
    <definedName name="__123Graph_X2" localSheetId="1" hidden="1">Margules!$A$10:$A$30</definedName>
    <definedName name="_del1">Regular!$J$10</definedName>
    <definedName name="_del2">Regular!$J$11</definedName>
    <definedName name="_l1" localSheetId="5">UNIQUAC!$E$6</definedName>
    <definedName name="_l2" localSheetId="5">UNIQUAC!$E$7</definedName>
    <definedName name="_lf1" localSheetId="5">UNIQUAC!$F$6</definedName>
    <definedName name="_lf2" localSheetId="5">UNIQUAC!$F$7</definedName>
    <definedName name="_phi1" localSheetId="5">UNIQUAC!$K:$K</definedName>
    <definedName name="_phi2" localSheetId="5">UNIQUAC!$L:$L</definedName>
    <definedName name="_Q">'aij-UNIFAC (VLE)'!$X$10:$X$29</definedName>
    <definedName name="_q1" localSheetId="5">UNIQUAC!$C$6</definedName>
    <definedName name="_q2" localSheetId="5">UNIQUAC!$C$7</definedName>
    <definedName name="_QL">'aij-UNIFAC (LLE)'!$D$10:$D$27</definedName>
    <definedName name="_qp1" localSheetId="5">UNIQUAC!$D$6</definedName>
    <definedName name="_qp2" localSheetId="5">UNIQUAC!$D$7</definedName>
    <definedName name="_R">'aij-UNIFAC (VLE)'!$W$10:$W$29</definedName>
    <definedName name="_r1" localSheetId="5">UNIQUAC!$B$6</definedName>
    <definedName name="_r2" localSheetId="5">UNIQUAC!$B$7</definedName>
    <definedName name="_Regression_Int" localSheetId="1" hidden="1">1</definedName>
    <definedName name="_RL">'aij-UNIFAC (LLE)'!$C$10:$C$27</definedName>
    <definedName name="_T">UNIQUAC!$D:$D</definedName>
    <definedName name="_T.">UNIQUAC!$D$11</definedName>
    <definedName name="_tau12" localSheetId="5">UNIQUAC!$E:$E</definedName>
    <definedName name="_tau21" localSheetId="5">UNIQUAC!$F:$F</definedName>
    <definedName name="_x1" localSheetId="5">UNIQUAC!$A$11:$A$31</definedName>
    <definedName name="_x2" localSheetId="5">UNIQUAC!$B$11:$B$31</definedName>
    <definedName name="A.">UNIQUAC5!$B$6:$F$6</definedName>
    <definedName name="A12_">Margules!$D$5</definedName>
    <definedName name="A12.">Regular!$H$54</definedName>
    <definedName name="A12..">UNIQUAC!$H$6</definedName>
    <definedName name="A21_">Margules!$E$5</definedName>
    <definedName name="A21.">Regular!$H$55</definedName>
    <definedName name="A21..">UNIQUAC!$I$6</definedName>
    <definedName name="act">UNIQUAC5!$B$17:$F$17</definedName>
    <definedName name="activity1" localSheetId="1">Margules!$E$10:$E$30</definedName>
    <definedName name="activity2" localSheetId="1">Margules!$F$10:$F$30</definedName>
    <definedName name="B.">UNIQUAC5!$B$7:$F$7</definedName>
    <definedName name="C.">UNIQUAC5!$B$8:$F$8</definedName>
    <definedName name="column">'aij-UNIFAC (VLE)'!$B$9:$R$9</definedName>
    <definedName name="g.">UNIQUAC5!$B$16:$F$16</definedName>
    <definedName name="g12.">NRTL!$G$4</definedName>
    <definedName name="g21.">NRTL!$G$5</definedName>
    <definedName name="galpha">UNIQUAC5!$B$16:$F$16</definedName>
    <definedName name="gam1.">Regular!$B$24:$O$24</definedName>
    <definedName name="gam1..">Regular!$B$41:$O$41</definedName>
    <definedName name="gam1...">Regular!$B$57:$O$57</definedName>
    <definedName name="gam2.">Regular!$B$25:$O$25</definedName>
    <definedName name="gam2..">Regular!$B$42:$O$42</definedName>
    <definedName name="gam2...">Regular!$B$58:$O$58</definedName>
    <definedName name="gamma1_">Margules!$C$10:$C$30</definedName>
    <definedName name="gamma2_" localSheetId="1">Margules!$D$10:$D$30</definedName>
    <definedName name="gbeta" localSheetId="6">UNIQUAC5!$I$16:$M$16</definedName>
    <definedName name="MGaij">'aij-UNIFAC (VLE)'!$B$10:$R$26</definedName>
    <definedName name="P1sat.">Regular!$B$26:$O$26</definedName>
    <definedName name="P1sat..">Regular!$B$43:$O$43</definedName>
    <definedName name="P1sat...">Regular!$B$59:$O$59</definedName>
    <definedName name="P2sat.">Regular!$B$27:$O$27</definedName>
    <definedName name="P2sat..">Regular!$B$44:$O$44</definedName>
    <definedName name="P2sat...">Regular!$B$60:$O$60</definedName>
    <definedName name="Pexpt">Regular!$I$13</definedName>
    <definedName name="phir1">Regular!$B$19:$O$19</definedName>
    <definedName name="Psat">UNIQUAC5!$B$9:$F$9</definedName>
    <definedName name="q">'UNIFAC (VLE)'!$C$46:$G$46</definedName>
    <definedName name="qL" localSheetId="10">'UNIFAC (LLEb)'!$B$44:$F$44</definedName>
    <definedName name="qL">'UNIFAC (LLEa)'!$B$45:$F$45</definedName>
    <definedName name="row">'aij-UNIFAC (VLE)'!$A$10:$A$26</definedName>
    <definedName name="solver_adj" localSheetId="2" hidden="1">Regular!$B$47:$O$47</definedName>
    <definedName name="solver_adj" localSheetId="9" hidden="1">'UNIFAC (LLEa)'!$B$11</definedName>
    <definedName name="solver_adj" localSheetId="10" hidden="1">'UNIFAC (LLEb)'!$B$10</definedName>
    <definedName name="solver_adj" localSheetId="7" hidden="1">'UNIFAC (VLE)'!$C$10</definedName>
    <definedName name="solver_cvg" localSheetId="2" hidden="1">0.001</definedName>
    <definedName name="solver_drv" localSheetId="2" hidden="1">1</definedName>
    <definedName name="solver_est" localSheetId="2" hidden="1">1</definedName>
    <definedName name="solver_itr" localSheetId="2" hidden="1">100</definedName>
    <definedName name="solver_lhs1" localSheetId="2" hidden="1">Regular!$C$37</definedName>
    <definedName name="solver_lin" localSheetId="2" hidden="1">2</definedName>
    <definedName name="solver_lin" localSheetId="9" hidden="1">0</definedName>
    <definedName name="solver_lin" localSheetId="10" hidden="1">0</definedName>
    <definedName name="solver_lin" localSheetId="7" hidden="1">0</definedName>
    <definedName name="solver_neg" localSheetId="2" hidden="1">2</definedName>
    <definedName name="solver_num" localSheetId="2" hidden="1">0</definedName>
    <definedName name="solver_num" localSheetId="9" hidden="1">0</definedName>
    <definedName name="solver_num" localSheetId="10" hidden="1">0</definedName>
    <definedName name="solver_num" localSheetId="7" hidden="1">0</definedName>
    <definedName name="solver_nwt" localSheetId="2" hidden="1">1</definedName>
    <definedName name="solver_opt" localSheetId="2" hidden="1">Regular!$P$48</definedName>
    <definedName name="solver_opt" localSheetId="9" hidden="1">'UNIFAC (LLEa)'!$B$10</definedName>
    <definedName name="solver_opt" localSheetId="10" hidden="1">'UNIFAC (LLEb)'!$B$9</definedName>
    <definedName name="solver_opt" localSheetId="7" hidden="1">'UNIFAC (VLE)'!$C$9</definedName>
    <definedName name="solver_pre" localSheetId="2" hidden="1">0.000001</definedName>
    <definedName name="solver_rel1" localSheetId="2" hidden="1">2</definedName>
    <definedName name="solver_rhs1" localSheetId="2" hidden="1">0</definedName>
    <definedName name="solver_scl" localSheetId="2" hidden="1">2</definedName>
    <definedName name="solver_sho" localSheetId="2" hidden="1">2</definedName>
    <definedName name="solver_tim" localSheetId="2" hidden="1">100</definedName>
    <definedName name="solver_tol" localSheetId="2" hidden="1">0.05</definedName>
    <definedName name="solver_typ" localSheetId="2" hidden="1">3</definedName>
    <definedName name="solver_typ" localSheetId="9" hidden="1">3</definedName>
    <definedName name="solver_typ" localSheetId="10" hidden="1">3</definedName>
    <definedName name="solver_typ" localSheetId="7" hidden="1">3</definedName>
    <definedName name="solver_val" localSheetId="2" hidden="1">0</definedName>
    <definedName name="solver_val" localSheetId="9" hidden="1">760</definedName>
    <definedName name="solver_val" localSheetId="10" hidden="1">760</definedName>
    <definedName name="solver_val" localSheetId="7" hidden="1">760</definedName>
    <definedName name="T">NRTL5!$C$5</definedName>
    <definedName name="T_" localSheetId="7">'UNIFAC (VLE)'!$C$10</definedName>
    <definedName name="T.">Regular!$B$30:$O$30</definedName>
    <definedName name="T..">Regular!$B$47:$O$47</definedName>
    <definedName name="T...">Regular!$B$63:$O$63</definedName>
    <definedName name="t12.">NRTL!$G$2</definedName>
    <definedName name="t21.">NRTL!$G$3</definedName>
    <definedName name="tau">'aij-UNIFAC (VLE)'!$W$36:$AP$55</definedName>
    <definedName name="tauL">'aij-UNIFAC (LLE)'!$E$31:$V$48</definedName>
    <definedName name="TC." localSheetId="9">'UNIFAC (LLEa)'!$B$11</definedName>
    <definedName name="TC.." localSheetId="10">'UNIFAC (LLEb)'!$B$10</definedName>
    <definedName name="theta1" localSheetId="5">UNIQUAC!$G:$G</definedName>
    <definedName name="theta2" localSheetId="5">UNIQUAC!$H:$H</definedName>
    <definedName name="thetap1" localSheetId="5">UNIQUAC!$I:$I</definedName>
    <definedName name="thetap2" localSheetId="5">UNIQUAC!$J:$J</definedName>
    <definedName name="TK" localSheetId="5">UNIQUAC5!$B$12</definedName>
    <definedName name="TK">UNIQUAC5!$B$12</definedName>
    <definedName name="V1_">Regular!$H$10</definedName>
    <definedName name="V2_">Regular!$H$11</definedName>
    <definedName name="x.">UNIQUAC5!$B$15:$F$15</definedName>
    <definedName name="x1_">Margules!$A$10:$A$30</definedName>
    <definedName name="x1__">Regular!$B$14:$O$14</definedName>
    <definedName name="x1." localSheetId="3">NRTL!$B$8:$B$28</definedName>
    <definedName name="x1.">Regular!$B$23:$O$23</definedName>
    <definedName name="x1..">Regular!$B$40:$O$40</definedName>
    <definedName name="x1...">Regular!$B$56:$O$56</definedName>
    <definedName name="x2_">Margules!$B$10:$B$30</definedName>
    <definedName name="x2.">NRTL!$C$8:$C$28</definedName>
    <definedName name="xalpha" localSheetId="6">UNIQUAC5!$B$15:$F$15</definedName>
    <definedName name="xbeta" localSheetId="6">UNIQUAC5!$I$15:$M$15</definedName>
    <definedName name="XL" localSheetId="10">'UNIFAC (LLEb)'!$I$23:$M$35</definedName>
    <definedName name="y1.">Regular!$B$28:$O$28</definedName>
    <definedName name="y1..">Regular!$B$45:$O$45</definedName>
    <definedName name="y1...">Regular!$B$61:$O$61</definedName>
    <definedName name="y2.">Regular!$B$29:$O$29</definedName>
    <definedName name="y2..">Regular!$B$46:$O$46</definedName>
    <definedName name="y2...">Regular!$B$62:$O$62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A16" i="15" l="1"/>
  <c r="BA17" i="15"/>
  <c r="BA18" i="15"/>
  <c r="BA19" i="15"/>
  <c r="BA20" i="15"/>
  <c r="BA21" i="15"/>
  <c r="BA22" i="15"/>
  <c r="BA23" i="15"/>
  <c r="BA24" i="15"/>
  <c r="BA25" i="15"/>
  <c r="BA26" i="15"/>
  <c r="BA27" i="15"/>
  <c r="BA28" i="15"/>
  <c r="BA29" i="15"/>
  <c r="BA30" i="15"/>
  <c r="BA31" i="15"/>
  <c r="BA32" i="15"/>
  <c r="BA33" i="15"/>
  <c r="BA34" i="15"/>
  <c r="BA35" i="15"/>
  <c r="G2" i="18"/>
  <c r="G3" i="18"/>
  <c r="G4" i="18"/>
  <c r="G5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H7" i="17"/>
  <c r="C10" i="17"/>
  <c r="D10" i="17"/>
  <c r="E10" i="17"/>
  <c r="F10" i="17"/>
  <c r="G10" i="17"/>
  <c r="B11" i="17"/>
  <c r="J11" i="17" a="1"/>
  <c r="K11" i="17" s="1"/>
  <c r="J11" i="17"/>
  <c r="M11" i="17"/>
  <c r="N11" i="17"/>
  <c r="B12" i="17"/>
  <c r="K12" i="17"/>
  <c r="L12" i="17"/>
  <c r="B13" i="17"/>
  <c r="B20" i="17" s="1"/>
  <c r="B27" i="17" s="1"/>
  <c r="J13" i="17"/>
  <c r="M13" i="17"/>
  <c r="N13" i="17"/>
  <c r="B14" i="17"/>
  <c r="K14" i="17"/>
  <c r="L14" i="17"/>
  <c r="B15" i="17"/>
  <c r="B22" i="17" s="1"/>
  <c r="J15" i="17"/>
  <c r="M15" i="17"/>
  <c r="N15" i="17"/>
  <c r="C17" i="17"/>
  <c r="D17" i="17"/>
  <c r="E17" i="17"/>
  <c r="F17" i="17"/>
  <c r="G17" i="17"/>
  <c r="B18" i="17"/>
  <c r="D25" i="17"/>
  <c r="E25" i="17"/>
  <c r="F25" i="17"/>
  <c r="G25" i="17"/>
  <c r="B19" i="17"/>
  <c r="E26" i="17"/>
  <c r="F26" i="17"/>
  <c r="G26" i="17"/>
  <c r="F27" i="17"/>
  <c r="G27" i="17"/>
  <c r="B21" i="17"/>
  <c r="G28" i="17"/>
  <c r="C24" i="17"/>
  <c r="D24" i="17"/>
  <c r="E24" i="17"/>
  <c r="F24" i="17"/>
  <c r="G24" i="17"/>
  <c r="B25" i="17"/>
  <c r="B26" i="17"/>
  <c r="B28" i="17"/>
  <c r="B29" i="17"/>
  <c r="J30" i="17"/>
  <c r="K30" i="17"/>
  <c r="L30" i="17"/>
  <c r="M30" i="17"/>
  <c r="N30" i="17"/>
  <c r="J31" i="17"/>
  <c r="K31" i="17"/>
  <c r="L31" i="17"/>
  <c r="M31" i="17"/>
  <c r="N31" i="17"/>
  <c r="J32" i="17"/>
  <c r="K32" i="17"/>
  <c r="L32" i="17"/>
  <c r="M32" i="17"/>
  <c r="N32" i="17"/>
  <c r="J33" i="17"/>
  <c r="K33" i="17"/>
  <c r="L33" i="17"/>
  <c r="M33" i="17"/>
  <c r="N33" i="17"/>
  <c r="J34" i="17"/>
  <c r="K34" i="17"/>
  <c r="L34" i="17"/>
  <c r="M34" i="17"/>
  <c r="N34" i="17"/>
  <c r="C26" i="5"/>
  <c r="C34" i="5" s="1"/>
  <c r="D26" i="5"/>
  <c r="D34" i="5"/>
  <c r="E34" i="5"/>
  <c r="F34" i="5"/>
  <c r="B27" i="5"/>
  <c r="B35" i="5"/>
  <c r="D27" i="5"/>
  <c r="D35" i="5" s="1"/>
  <c r="E35" i="5"/>
  <c r="F35" i="5"/>
  <c r="B28" i="5"/>
  <c r="B36" i="5" s="1"/>
  <c r="C28" i="5"/>
  <c r="C36" i="5"/>
  <c r="E36" i="5"/>
  <c r="F36" i="5"/>
  <c r="B37" i="5"/>
  <c r="C37" i="5"/>
  <c r="D37" i="5"/>
  <c r="F37" i="5"/>
  <c r="B38" i="5"/>
  <c r="C38" i="5"/>
  <c r="D38" i="5"/>
  <c r="E38" i="5"/>
  <c r="B9" i="5"/>
  <c r="C40" i="3"/>
  <c r="D40" i="3"/>
  <c r="E40" i="3"/>
  <c r="F40" i="3"/>
  <c r="H40" i="3"/>
  <c r="I40" i="3"/>
  <c r="J40" i="3"/>
  <c r="K40" i="3"/>
  <c r="L40" i="3"/>
  <c r="N40" i="3"/>
  <c r="O40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B44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B43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O19" i="3"/>
  <c r="O41" i="3"/>
  <c r="O45" i="3" s="1"/>
  <c r="B19" i="3"/>
  <c r="B42" i="3"/>
  <c r="C9" i="5"/>
  <c r="D9" i="5"/>
  <c r="E9" i="5"/>
  <c r="F9" i="5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B59" i="3"/>
  <c r="B60" i="3"/>
  <c r="E27" i="3"/>
  <c r="F27" i="3"/>
  <c r="G27" i="3"/>
  <c r="H27" i="3"/>
  <c r="I27" i="3"/>
  <c r="J27" i="3"/>
  <c r="K27" i="3"/>
  <c r="L27" i="3"/>
  <c r="M27" i="3"/>
  <c r="N27" i="3"/>
  <c r="O27" i="3"/>
  <c r="D27" i="3"/>
  <c r="C27" i="3"/>
  <c r="B27" i="3"/>
  <c r="B26" i="3"/>
  <c r="E19" i="3"/>
  <c r="E42" i="3"/>
  <c r="E46" i="3" s="1"/>
  <c r="F19" i="3"/>
  <c r="F42" i="3" s="1"/>
  <c r="F46" i="3"/>
  <c r="H19" i="3"/>
  <c r="H42" i="3"/>
  <c r="H46" i="3" s="1"/>
  <c r="I19" i="3"/>
  <c r="I41" i="3" s="1"/>
  <c r="J19" i="3"/>
  <c r="J42" i="3"/>
  <c r="J46" i="3" s="1"/>
  <c r="K19" i="3"/>
  <c r="K41" i="3" s="1"/>
  <c r="K45" i="3"/>
  <c r="L19" i="3"/>
  <c r="L42" i="3"/>
  <c r="L46" i="3" s="1"/>
  <c r="N19" i="3"/>
  <c r="N42" i="3" s="1"/>
  <c r="D19" i="3"/>
  <c r="D24" i="3"/>
  <c r="C19" i="3"/>
  <c r="C42" i="3"/>
  <c r="C46" i="3" s="1"/>
  <c r="B6" i="10"/>
  <c r="P34" i="10" s="1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R9" i="10"/>
  <c r="R30" i="10"/>
  <c r="S9" i="10"/>
  <c r="S30" i="10"/>
  <c r="T9" i="10"/>
  <c r="T30" i="10"/>
  <c r="U9" i="10"/>
  <c r="U30" i="10"/>
  <c r="V9" i="10"/>
  <c r="V30" i="10"/>
  <c r="D44" i="10"/>
  <c r="D45" i="10"/>
  <c r="D46" i="10"/>
  <c r="D47" i="10"/>
  <c r="D48" i="10"/>
  <c r="W23" i="10"/>
  <c r="W24" i="10"/>
  <c r="W25" i="10"/>
  <c r="W26" i="10"/>
  <c r="W27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10" i="10"/>
  <c r="F9" i="10"/>
  <c r="F30" i="10" s="1"/>
  <c r="G9" i="10"/>
  <c r="G30" i="10" s="1"/>
  <c r="H9" i="10"/>
  <c r="H30" i="10" s="1"/>
  <c r="I9" i="10"/>
  <c r="I30" i="10" s="1"/>
  <c r="J9" i="10"/>
  <c r="J30" i="10" s="1"/>
  <c r="K9" i="10"/>
  <c r="K30" i="10" s="1"/>
  <c r="L9" i="10"/>
  <c r="L30" i="10" s="1"/>
  <c r="M9" i="10"/>
  <c r="M30" i="10" s="1"/>
  <c r="N9" i="10"/>
  <c r="N30" i="10" s="1"/>
  <c r="O9" i="10"/>
  <c r="O30" i="10" s="1"/>
  <c r="P9" i="10"/>
  <c r="P30" i="10" s="1"/>
  <c r="Q9" i="10"/>
  <c r="Q30" i="10" s="1"/>
  <c r="E9" i="10"/>
  <c r="E30" i="10" s="1"/>
  <c r="D32" i="10"/>
  <c r="D33" i="10"/>
  <c r="D34" i="10"/>
  <c r="D35" i="10"/>
  <c r="D36" i="10"/>
  <c r="D37" i="10"/>
  <c r="D38" i="10"/>
  <c r="D39" i="10"/>
  <c r="D40" i="10"/>
  <c r="D41" i="10"/>
  <c r="D42" i="10"/>
  <c r="D43" i="10"/>
  <c r="D31" i="10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T28" i="16"/>
  <c r="W28" i="16" s="1"/>
  <c r="T27" i="16"/>
  <c r="X27" i="16" s="1"/>
  <c r="W27" i="16"/>
  <c r="T26" i="16"/>
  <c r="W26" i="16"/>
  <c r="U26" i="16"/>
  <c r="T25" i="16"/>
  <c r="T24" i="16"/>
  <c r="W24" i="16" s="1"/>
  <c r="T23" i="16"/>
  <c r="T22" i="16"/>
  <c r="U22" i="16" s="1"/>
  <c r="AK8" i="16" s="1"/>
  <c r="W22" i="16"/>
  <c r="T21" i="16"/>
  <c r="X21" i="16" s="1"/>
  <c r="W21" i="16"/>
  <c r="T20" i="16"/>
  <c r="W20" i="16"/>
  <c r="U20" i="16"/>
  <c r="T19" i="16"/>
  <c r="X19" i="16" s="1"/>
  <c r="T18" i="16"/>
  <c r="W18" i="16" s="1"/>
  <c r="U18" i="16"/>
  <c r="T17" i="16"/>
  <c r="X17" i="16"/>
  <c r="W17" i="16"/>
  <c r="T16" i="16"/>
  <c r="T15" i="16"/>
  <c r="X15" i="16"/>
  <c r="T14" i="16"/>
  <c r="W14" i="16"/>
  <c r="U14" i="16"/>
  <c r="T13" i="16"/>
  <c r="X13" i="16" s="1"/>
  <c r="W13" i="16"/>
  <c r="T12" i="16"/>
  <c r="U12" i="16" s="1"/>
  <c r="W12" i="16"/>
  <c r="T11" i="16"/>
  <c r="X11" i="16" s="1"/>
  <c r="T10" i="16"/>
  <c r="T29" i="16"/>
  <c r="W29" i="16" s="1"/>
  <c r="X29" i="16"/>
  <c r="AO8" i="16"/>
  <c r="AI8" i="16"/>
  <c r="AC8" i="16"/>
  <c r="AA8" i="16"/>
  <c r="U6" i="16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F24" i="11"/>
  <c r="E24" i="11"/>
  <c r="F23" i="11"/>
  <c r="E23" i="11"/>
  <c r="F22" i="11"/>
  <c r="E22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F6" i="11"/>
  <c r="E6" i="11"/>
  <c r="F5" i="11"/>
  <c r="E5" i="11"/>
  <c r="E4" i="11"/>
  <c r="F4" i="11"/>
  <c r="A11" i="14"/>
  <c r="B10" i="14"/>
  <c r="D10" i="14"/>
  <c r="F10" i="14" s="1"/>
  <c r="B54" i="3"/>
  <c r="E54" i="3" s="1"/>
  <c r="B55" i="3"/>
  <c r="E55" i="3" s="1"/>
  <c r="C56" i="3"/>
  <c r="C57" i="3" s="1"/>
  <c r="D56" i="3"/>
  <c r="E56" i="3"/>
  <c r="F56" i="3"/>
  <c r="G14" i="3"/>
  <c r="G56" i="3"/>
  <c r="H56" i="3"/>
  <c r="I56" i="3"/>
  <c r="J56" i="3"/>
  <c r="K56" i="3"/>
  <c r="L56" i="3"/>
  <c r="M14" i="3"/>
  <c r="M40" i="3" s="1"/>
  <c r="N56" i="3"/>
  <c r="N57" i="3" s="1"/>
  <c r="O56" i="3"/>
  <c r="B56" i="3"/>
  <c r="B40" i="3"/>
  <c r="C25" i="3"/>
  <c r="E25" i="3"/>
  <c r="I25" i="3"/>
  <c r="O25" i="3"/>
  <c r="C23" i="3"/>
  <c r="C29" i="3" s="1"/>
  <c r="D23" i="3"/>
  <c r="E23" i="3"/>
  <c r="F23" i="3"/>
  <c r="G23" i="3"/>
  <c r="H23" i="3"/>
  <c r="I23" i="3"/>
  <c r="J23" i="3"/>
  <c r="K23" i="3"/>
  <c r="K28" i="3" s="1"/>
  <c r="L23" i="3"/>
  <c r="N23" i="3"/>
  <c r="O23" i="3"/>
  <c r="B23" i="3"/>
  <c r="C18" i="3"/>
  <c r="D18" i="3"/>
  <c r="E18" i="3"/>
  <c r="F18" i="3"/>
  <c r="H18" i="3"/>
  <c r="I18" i="3"/>
  <c r="J18" i="3"/>
  <c r="K18" i="3"/>
  <c r="L18" i="3"/>
  <c r="N18" i="3"/>
  <c r="O18" i="3"/>
  <c r="B18" i="3"/>
  <c r="B17" i="9"/>
  <c r="B16" i="12" s="1"/>
  <c r="C17" i="9"/>
  <c r="C16" i="12" s="1"/>
  <c r="B42" i="9"/>
  <c r="C42" i="9"/>
  <c r="D42" i="9"/>
  <c r="E42" i="9"/>
  <c r="F42" i="9"/>
  <c r="G24" i="9" a="1"/>
  <c r="G24" i="9"/>
  <c r="G25" i="9" a="1"/>
  <c r="G25" i="9"/>
  <c r="G26" i="9" a="1"/>
  <c r="G26" i="9"/>
  <c r="G27" i="9" a="1"/>
  <c r="G28" i="9" a="1"/>
  <c r="G28" i="9" s="1"/>
  <c r="G29" i="9" a="1"/>
  <c r="G29" i="9"/>
  <c r="G30" i="9" a="1"/>
  <c r="G30" i="9" s="1"/>
  <c r="G31" i="9" a="1"/>
  <c r="G32" i="9" a="1"/>
  <c r="G32" i="9" s="1"/>
  <c r="G33" i="9" a="1"/>
  <c r="G33" i="9" s="1"/>
  <c r="G34" i="9" a="1"/>
  <c r="G34" i="9" s="1"/>
  <c r="G35" i="9" a="1"/>
  <c r="G36" i="9" a="1"/>
  <c r="G36" i="9" s="1"/>
  <c r="G37" i="9" a="1"/>
  <c r="G37" i="9" s="1"/>
  <c r="G38" i="9" a="1"/>
  <c r="G39" i="9" a="1"/>
  <c r="G39" i="9"/>
  <c r="G40" i="9" a="1"/>
  <c r="G41" i="9" a="1"/>
  <c r="G41" i="9"/>
  <c r="B43" i="9"/>
  <c r="C43" i="9"/>
  <c r="J29" i="9" s="1"/>
  <c r="J28" i="9"/>
  <c r="D43" i="9"/>
  <c r="K31" i="9" s="1"/>
  <c r="E43" i="9"/>
  <c r="L26" i="9"/>
  <c r="F43" i="9"/>
  <c r="I25" i="9"/>
  <c r="M25" i="9"/>
  <c r="I27" i="9"/>
  <c r="I29" i="9"/>
  <c r="K29" i="9"/>
  <c r="I31" i="9"/>
  <c r="M31" i="9"/>
  <c r="I33" i="9"/>
  <c r="M33" i="9"/>
  <c r="I35" i="9"/>
  <c r="K35" i="9"/>
  <c r="I37" i="9"/>
  <c r="M37" i="9"/>
  <c r="I39" i="9"/>
  <c r="M39" i="9"/>
  <c r="I41" i="9"/>
  <c r="M41" i="9"/>
  <c r="C46" i="9" a="1"/>
  <c r="C46" i="9"/>
  <c r="B46" i="9" a="1"/>
  <c r="B46" i="9"/>
  <c r="D46" i="9" a="1"/>
  <c r="D46" i="9"/>
  <c r="E46" i="9" a="1"/>
  <c r="E46" i="9"/>
  <c r="F46" i="9" a="1"/>
  <c r="F46" i="9"/>
  <c r="C45" i="9" a="1"/>
  <c r="C45" i="9" s="1"/>
  <c r="B45" i="9" a="1"/>
  <c r="B45" i="9" s="1"/>
  <c r="D45" i="9" a="1"/>
  <c r="D45" i="9"/>
  <c r="E45" i="9" a="1"/>
  <c r="E45" i="9" s="1"/>
  <c r="F45" i="9" a="1"/>
  <c r="F45" i="9" s="1"/>
  <c r="F17" i="9"/>
  <c r="F16" i="12" s="1"/>
  <c r="D17" i="9"/>
  <c r="D16" i="12" s="1"/>
  <c r="E17" i="9"/>
  <c r="E16" i="12" s="1"/>
  <c r="A36" i="9"/>
  <c r="H36" i="9"/>
  <c r="A37" i="9"/>
  <c r="H37" i="9"/>
  <c r="A38" i="9"/>
  <c r="H38" i="9"/>
  <c r="A39" i="9"/>
  <c r="H39" i="9"/>
  <c r="A40" i="9"/>
  <c r="H40" i="9"/>
  <c r="A41" i="9"/>
  <c r="H41" i="9"/>
  <c r="G38" i="9"/>
  <c r="G40" i="9"/>
  <c r="G27" i="9"/>
  <c r="G31" i="9"/>
  <c r="G35" i="9"/>
  <c r="A35" i="9"/>
  <c r="H35" i="9"/>
  <c r="A30" i="9"/>
  <c r="H30" i="9"/>
  <c r="A31" i="9"/>
  <c r="H31" i="9"/>
  <c r="A32" i="9"/>
  <c r="H32" i="9"/>
  <c r="A33" i="9"/>
  <c r="H33" i="9"/>
  <c r="A34" i="9"/>
  <c r="H34" i="9"/>
  <c r="A25" i="9"/>
  <c r="H25" i="9"/>
  <c r="A26" i="9"/>
  <c r="H26" i="9"/>
  <c r="A27" i="9"/>
  <c r="H27" i="9"/>
  <c r="A28" i="9"/>
  <c r="H28" i="9"/>
  <c r="A29" i="9"/>
  <c r="H29" i="9"/>
  <c r="A24" i="9"/>
  <c r="H24" i="9"/>
  <c r="F20" i="12"/>
  <c r="E20" i="12"/>
  <c r="D20" i="12"/>
  <c r="C20" i="12"/>
  <c r="B20" i="12"/>
  <c r="F40" i="12"/>
  <c r="E40" i="12"/>
  <c r="D40" i="12"/>
  <c r="G40" i="12" s="1" a="1"/>
  <c r="G40" i="12" s="1"/>
  <c r="C40" i="12"/>
  <c r="B40" i="12"/>
  <c r="F39" i="12"/>
  <c r="E39" i="12"/>
  <c r="D39" i="12"/>
  <c r="C39" i="12"/>
  <c r="B39" i="12"/>
  <c r="F38" i="12"/>
  <c r="E38" i="12"/>
  <c r="D38" i="12"/>
  <c r="C38" i="12"/>
  <c r="B38" i="12"/>
  <c r="F37" i="12"/>
  <c r="E37" i="12"/>
  <c r="D37" i="12"/>
  <c r="C37" i="12"/>
  <c r="B37" i="12"/>
  <c r="F36" i="12"/>
  <c r="E36" i="12"/>
  <c r="D36" i="12"/>
  <c r="C36" i="12"/>
  <c r="B36" i="12"/>
  <c r="G36" i="12" a="1"/>
  <c r="F35" i="12"/>
  <c r="E35" i="12"/>
  <c r="D35" i="12"/>
  <c r="C35" i="12"/>
  <c r="G35" i="12" s="1" a="1"/>
  <c r="B35" i="12"/>
  <c r="F34" i="12"/>
  <c r="E34" i="12"/>
  <c r="D34" i="12"/>
  <c r="C34" i="12"/>
  <c r="B34" i="12"/>
  <c r="F33" i="12"/>
  <c r="E33" i="12"/>
  <c r="D33" i="12"/>
  <c r="C33" i="12"/>
  <c r="B33" i="12"/>
  <c r="F32" i="12"/>
  <c r="E32" i="12"/>
  <c r="D32" i="12"/>
  <c r="C32" i="12"/>
  <c r="B32" i="12"/>
  <c r="F31" i="12"/>
  <c r="E31" i="12"/>
  <c r="D31" i="12"/>
  <c r="C31" i="12"/>
  <c r="B31" i="12"/>
  <c r="F30" i="12"/>
  <c r="E30" i="12"/>
  <c r="D30" i="12"/>
  <c r="C30" i="12"/>
  <c r="B30" i="12"/>
  <c r="F29" i="12"/>
  <c r="E29" i="12"/>
  <c r="D29" i="12"/>
  <c r="C29" i="12"/>
  <c r="G29" i="12" s="1" a="1"/>
  <c r="G29" i="12" s="1"/>
  <c r="B29" i="12"/>
  <c r="F28" i="12"/>
  <c r="E28" i="12"/>
  <c r="D28" i="12"/>
  <c r="C28" i="12"/>
  <c r="B28" i="12"/>
  <c r="F27" i="12"/>
  <c r="E27" i="12"/>
  <c r="D27" i="12"/>
  <c r="C27" i="12"/>
  <c r="B27" i="12"/>
  <c r="F26" i="12"/>
  <c r="E26" i="12"/>
  <c r="D26" i="12"/>
  <c r="C26" i="12"/>
  <c r="G26" i="12" s="1" a="1"/>
  <c r="G26" i="12" s="1"/>
  <c r="B26" i="12"/>
  <c r="F25" i="12"/>
  <c r="E25" i="12"/>
  <c r="D25" i="12"/>
  <c r="D42" i="12" s="1"/>
  <c r="C25" i="12"/>
  <c r="B25" i="12"/>
  <c r="F24" i="12"/>
  <c r="E24" i="12"/>
  <c r="D24" i="12"/>
  <c r="C24" i="12"/>
  <c r="B24" i="12"/>
  <c r="F23" i="12"/>
  <c r="E23" i="12"/>
  <c r="D23" i="12"/>
  <c r="C23" i="12"/>
  <c r="B23" i="12"/>
  <c r="B14" i="12"/>
  <c r="C14" i="12"/>
  <c r="D14" i="12"/>
  <c r="E14" i="12"/>
  <c r="F14" i="12"/>
  <c r="B15" i="12"/>
  <c r="C15" i="12"/>
  <c r="D15" i="12"/>
  <c r="E15" i="12"/>
  <c r="F15" i="12"/>
  <c r="C13" i="12"/>
  <c r="D13" i="12"/>
  <c r="E13" i="12"/>
  <c r="F13" i="12"/>
  <c r="B13" i="12"/>
  <c r="B10" i="12"/>
  <c r="G31" i="12" a="1"/>
  <c r="G37" i="12" a="1"/>
  <c r="G37" i="12" s="1"/>
  <c r="G39" i="12" a="1"/>
  <c r="A35" i="12"/>
  <c r="H35" i="12"/>
  <c r="A36" i="12"/>
  <c r="H36" i="12" s="1"/>
  <c r="A37" i="12"/>
  <c r="H37" i="12"/>
  <c r="A38" i="12"/>
  <c r="H38" i="12" s="1"/>
  <c r="A39" i="12"/>
  <c r="H39" i="12"/>
  <c r="A40" i="12"/>
  <c r="H40" i="12" s="1"/>
  <c r="A34" i="12"/>
  <c r="H34" i="12"/>
  <c r="A29" i="12"/>
  <c r="H29" i="12" s="1"/>
  <c r="A30" i="12"/>
  <c r="H30" i="12"/>
  <c r="A31" i="12"/>
  <c r="H31" i="12" s="1"/>
  <c r="A32" i="12"/>
  <c r="H32" i="12"/>
  <c r="A33" i="12"/>
  <c r="H33" i="12" s="1"/>
  <c r="A24" i="12"/>
  <c r="H24" i="12"/>
  <c r="A25" i="12"/>
  <c r="H25" i="12" s="1"/>
  <c r="A26" i="12"/>
  <c r="H26" i="12"/>
  <c r="A27" i="12"/>
  <c r="H27" i="12" s="1"/>
  <c r="A28" i="12"/>
  <c r="H28" i="12"/>
  <c r="A23" i="12"/>
  <c r="H23" i="12" s="1"/>
  <c r="E44" i="15"/>
  <c r="L25" i="15" s="1"/>
  <c r="L42" i="15"/>
  <c r="L23" i="15"/>
  <c r="L27" i="15"/>
  <c r="L29" i="15"/>
  <c r="L31" i="15"/>
  <c r="L35" i="15"/>
  <c r="L37" i="15"/>
  <c r="L39" i="15"/>
  <c r="D44" i="15"/>
  <c r="K34" i="15" s="1"/>
  <c r="K26" i="15"/>
  <c r="K30" i="15"/>
  <c r="K38" i="15"/>
  <c r="K42" i="15"/>
  <c r="D43" i="15"/>
  <c r="C43" i="15"/>
  <c r="F43" i="15"/>
  <c r="G43" i="15"/>
  <c r="E43" i="15"/>
  <c r="H23" i="15" a="1"/>
  <c r="H23" i="15"/>
  <c r="H24" i="15" a="1"/>
  <c r="H25" i="15" a="1"/>
  <c r="H25" i="15"/>
  <c r="H26" i="15" a="1"/>
  <c r="H26" i="15" s="1"/>
  <c r="H27" i="15" a="1"/>
  <c r="H27" i="15"/>
  <c r="H28" i="15" a="1"/>
  <c r="H29" i="15" a="1"/>
  <c r="H29" i="15"/>
  <c r="H30" i="15" a="1"/>
  <c r="H30" i="15" s="1"/>
  <c r="H31" i="15" a="1"/>
  <c r="H31" i="15"/>
  <c r="H32" i="15" a="1"/>
  <c r="H32" i="15" s="1"/>
  <c r="H33" i="15" a="1"/>
  <c r="H33" i="15" s="1"/>
  <c r="H34" i="15" a="1"/>
  <c r="H34" i="15"/>
  <c r="H35" i="15" a="1"/>
  <c r="H35" i="15" s="1"/>
  <c r="H36" i="15" a="1"/>
  <c r="H37" i="15" a="1"/>
  <c r="H38" i="15" a="1"/>
  <c r="H38" i="15" s="1"/>
  <c r="H39" i="15" a="1"/>
  <c r="H40" i="15" a="1"/>
  <c r="H40" i="15" s="1"/>
  <c r="H41" i="15" a="1"/>
  <c r="H41" i="15" s="1"/>
  <c r="H42" i="15" a="1"/>
  <c r="H42" i="15" s="1"/>
  <c r="C44" i="15"/>
  <c r="J42" i="15"/>
  <c r="J27" i="15"/>
  <c r="J35" i="15"/>
  <c r="J37" i="15"/>
  <c r="F44" i="15"/>
  <c r="M31" i="15"/>
  <c r="M37" i="15"/>
  <c r="G44" i="15"/>
  <c r="N26" i="15" s="1"/>
  <c r="N23" i="15"/>
  <c r="N24" i="15"/>
  <c r="N28" i="15"/>
  <c r="N30" i="15"/>
  <c r="N32" i="15"/>
  <c r="N36" i="15"/>
  <c r="N38" i="15"/>
  <c r="N40" i="15"/>
  <c r="G16" i="15"/>
  <c r="C16" i="15"/>
  <c r="D16" i="15"/>
  <c r="F16" i="15"/>
  <c r="H36" i="15"/>
  <c r="H37" i="15"/>
  <c r="H39" i="15"/>
  <c r="H24" i="15"/>
  <c r="H28" i="15"/>
  <c r="A12" i="4"/>
  <c r="A13" i="4" s="1"/>
  <c r="B12" i="4"/>
  <c r="K12" i="4" s="1"/>
  <c r="B31" i="4"/>
  <c r="H31" i="4"/>
  <c r="L12" i="4"/>
  <c r="B11" i="4"/>
  <c r="L11" i="4"/>
  <c r="D7" i="4"/>
  <c r="D6" i="4"/>
  <c r="D31" i="4"/>
  <c r="E31" i="4"/>
  <c r="D30" i="4"/>
  <c r="D29" i="4"/>
  <c r="E29" i="4"/>
  <c r="D28" i="4"/>
  <c r="D27" i="4"/>
  <c r="E27" i="4"/>
  <c r="D26" i="4"/>
  <c r="D25" i="4"/>
  <c r="E25" i="4"/>
  <c r="D24" i="4"/>
  <c r="F24" i="4" s="1"/>
  <c r="D23" i="4"/>
  <c r="E23" i="4"/>
  <c r="D22" i="4"/>
  <c r="D21" i="4"/>
  <c r="E21" i="4"/>
  <c r="D20" i="4"/>
  <c r="D19" i="4"/>
  <c r="E19" i="4"/>
  <c r="D18" i="4"/>
  <c r="D17" i="4"/>
  <c r="E17" i="4"/>
  <c r="D16" i="4"/>
  <c r="F16" i="4" s="1"/>
  <c r="D15" i="4"/>
  <c r="E15" i="4"/>
  <c r="D14" i="4"/>
  <c r="D13" i="4"/>
  <c r="E13" i="4"/>
  <c r="D12" i="4"/>
  <c r="D11" i="4"/>
  <c r="F11" i="4"/>
  <c r="E6" i="4"/>
  <c r="E7" i="4"/>
  <c r="B23" i="5" a="1"/>
  <c r="B23" i="5"/>
  <c r="D23" i="5" a="1"/>
  <c r="D23" i="5" s="1"/>
  <c r="J14" i="5"/>
  <c r="K14" i="5"/>
  <c r="L14" i="5"/>
  <c r="M14" i="5"/>
  <c r="I14" i="5"/>
  <c r="I23" i="5" a="1"/>
  <c r="I23" i="5" s="1"/>
  <c r="K23" i="5" a="1"/>
  <c r="K23" i="5"/>
  <c r="K22" i="5" s="1"/>
  <c r="R13" i="5"/>
  <c r="P14" i="5"/>
  <c r="Q14" i="5"/>
  <c r="Q16" i="5" s="1"/>
  <c r="R16" i="5"/>
  <c r="P16" i="5"/>
  <c r="Q15" i="5"/>
  <c r="R15" i="5"/>
  <c r="P15" i="5"/>
  <c r="Q13" i="5"/>
  <c r="P13" i="5"/>
  <c r="J25" i="3"/>
  <c r="J29" i="3" s="1"/>
  <c r="H25" i="3"/>
  <c r="H29" i="3"/>
  <c r="K25" i="3"/>
  <c r="K29" i="3"/>
  <c r="V29" i="16"/>
  <c r="V11" i="16"/>
  <c r="V13" i="16"/>
  <c r="V15" i="16"/>
  <c r="V17" i="16"/>
  <c r="V19" i="16"/>
  <c r="V21" i="16"/>
  <c r="V23" i="16"/>
  <c r="V27" i="16"/>
  <c r="J22" i="5"/>
  <c r="A14" i="4"/>
  <c r="B14" i="4"/>
  <c r="M22" i="5"/>
  <c r="L24" i="9"/>
  <c r="L25" i="9"/>
  <c r="L27" i="9"/>
  <c r="L29" i="9"/>
  <c r="L31" i="9"/>
  <c r="L33" i="9"/>
  <c r="L35" i="9"/>
  <c r="L37" i="9"/>
  <c r="L39" i="9"/>
  <c r="L41" i="9"/>
  <c r="H54" i="3"/>
  <c r="H55" i="3"/>
  <c r="D58" i="3" s="1"/>
  <c r="E57" i="3"/>
  <c r="E61" i="3" s="1"/>
  <c r="D62" i="3"/>
  <c r="AA20" i="16"/>
  <c r="Y46" i="16" s="1"/>
  <c r="AA12" i="16"/>
  <c r="AC22" i="16"/>
  <c r="AC20" i="16"/>
  <c r="AC14" i="16"/>
  <c r="AI20" i="16"/>
  <c r="AI12" i="16"/>
  <c r="AK22" i="16"/>
  <c r="AI48" i="16" s="1"/>
  <c r="AK20" i="16"/>
  <c r="AK14" i="16"/>
  <c r="K23" i="15"/>
  <c r="K25" i="15"/>
  <c r="K27" i="15"/>
  <c r="K29" i="15"/>
  <c r="K31" i="15"/>
  <c r="K33" i="15"/>
  <c r="K35" i="15"/>
  <c r="K37" i="15"/>
  <c r="K39" i="15"/>
  <c r="K41" i="15"/>
  <c r="J33" i="9"/>
  <c r="M28" i="15"/>
  <c r="M30" i="15"/>
  <c r="M24" i="9"/>
  <c r="M26" i="9"/>
  <c r="M28" i="9"/>
  <c r="M30" i="9"/>
  <c r="M32" i="9"/>
  <c r="M34" i="9"/>
  <c r="M36" i="9"/>
  <c r="M38" i="9"/>
  <c r="M40" i="9"/>
  <c r="K24" i="9"/>
  <c r="K26" i="9"/>
  <c r="K32" i="9"/>
  <c r="K34" i="9"/>
  <c r="K40" i="9"/>
  <c r="I24" i="9"/>
  <c r="I26" i="9"/>
  <c r="I28" i="9"/>
  <c r="I30" i="9"/>
  <c r="I32" i="9"/>
  <c r="I34" i="9"/>
  <c r="I36" i="9"/>
  <c r="I38" i="9"/>
  <c r="I40" i="9"/>
  <c r="A12" i="14"/>
  <c r="B12" i="14"/>
  <c r="D12" i="14"/>
  <c r="F12" i="14"/>
  <c r="B11" i="14"/>
  <c r="C11" i="14"/>
  <c r="E22" i="5"/>
  <c r="K40" i="15"/>
  <c r="K36" i="15"/>
  <c r="K32" i="15"/>
  <c r="K28" i="15"/>
  <c r="K24" i="15"/>
  <c r="L40" i="9"/>
  <c r="L36" i="9"/>
  <c r="L32" i="9"/>
  <c r="L28" i="9"/>
  <c r="F25" i="3"/>
  <c r="F29" i="3" s="1"/>
  <c r="D25" i="3"/>
  <c r="D29" i="3"/>
  <c r="X12" i="16"/>
  <c r="V12" i="16"/>
  <c r="X14" i="16"/>
  <c r="V14" i="16"/>
  <c r="X18" i="16"/>
  <c r="V18" i="16"/>
  <c r="X20" i="16"/>
  <c r="V20" i="16"/>
  <c r="AI9" i="16" s="1"/>
  <c r="AG35" i="16" s="1"/>
  <c r="X22" i="16"/>
  <c r="V22" i="16"/>
  <c r="X24" i="16"/>
  <c r="V24" i="16"/>
  <c r="AM9" i="16" s="1"/>
  <c r="AK35" i="16" s="1"/>
  <c r="AK26" i="16"/>
  <c r="AI26" i="16"/>
  <c r="AC26" i="16"/>
  <c r="AA26" i="16"/>
  <c r="Y52" i="16" s="1"/>
  <c r="X26" i="16"/>
  <c r="V26" i="16"/>
  <c r="X28" i="16"/>
  <c r="V28" i="16"/>
  <c r="T31" i="10"/>
  <c r="L31" i="10"/>
  <c r="U48" i="10"/>
  <c r="M48" i="10"/>
  <c r="E48" i="10"/>
  <c r="O47" i="10"/>
  <c r="G47" i="10"/>
  <c r="Q46" i="10"/>
  <c r="I46" i="10"/>
  <c r="S45" i="10"/>
  <c r="K45" i="10"/>
  <c r="U44" i="10"/>
  <c r="M44" i="10"/>
  <c r="E44" i="10"/>
  <c r="O43" i="10"/>
  <c r="G43" i="10"/>
  <c r="Q42" i="10"/>
  <c r="I42" i="10"/>
  <c r="S41" i="10"/>
  <c r="K41" i="10"/>
  <c r="U40" i="10"/>
  <c r="M40" i="10"/>
  <c r="E40" i="10"/>
  <c r="O39" i="10"/>
  <c r="G39" i="10"/>
  <c r="Q38" i="10"/>
  <c r="I38" i="10"/>
  <c r="S37" i="10"/>
  <c r="K37" i="10"/>
  <c r="U36" i="10"/>
  <c r="M36" i="10"/>
  <c r="E36" i="10"/>
  <c r="O35" i="10"/>
  <c r="G35" i="10"/>
  <c r="Q34" i="10"/>
  <c r="I34" i="10"/>
  <c r="S33" i="10"/>
  <c r="K33" i="10"/>
  <c r="U32" i="10"/>
  <c r="M32" i="10"/>
  <c r="AJ9" i="16"/>
  <c r="AH35" i="16" s="1"/>
  <c r="AS21" i="16"/>
  <c r="AF9" i="16"/>
  <c r="AD35" i="16"/>
  <c r="AS17" i="16"/>
  <c r="B30" i="15"/>
  <c r="I30" i="15" s="1"/>
  <c r="V43" i="16"/>
  <c r="AB9" i="16"/>
  <c r="Z35" i="16"/>
  <c r="AS13" i="16"/>
  <c r="V55" i="16"/>
  <c r="AR9" i="16"/>
  <c r="AP35" i="16"/>
  <c r="B42" i="15"/>
  <c r="I42" i="15" s="1"/>
  <c r="AS29" i="16"/>
  <c r="AP9" i="16"/>
  <c r="AN35" i="16"/>
  <c r="V53" i="16"/>
  <c r="AH9" i="16"/>
  <c r="AF35" i="16"/>
  <c r="V45" i="16"/>
  <c r="Z9" i="16"/>
  <c r="X35" i="16"/>
  <c r="V37" i="16"/>
  <c r="B41" i="15"/>
  <c r="I41" i="15" s="1"/>
  <c r="V52" i="16"/>
  <c r="AO9" i="16"/>
  <c r="AM35" i="16"/>
  <c r="B39" i="15"/>
  <c r="I39" i="15"/>
  <c r="AS26" i="16"/>
  <c r="V50" i="16"/>
  <c r="AS24" i="16"/>
  <c r="B37" i="15"/>
  <c r="I37" i="15" s="1"/>
  <c r="AS22" i="16"/>
  <c r="AK9" i="16"/>
  <c r="AI35" i="16"/>
  <c r="V48" i="16"/>
  <c r="B35" i="15"/>
  <c r="I35" i="15"/>
  <c r="AS20" i="16"/>
  <c r="V46" i="16"/>
  <c r="B33" i="15"/>
  <c r="I33" i="15" s="1"/>
  <c r="AS18" i="16"/>
  <c r="AG9" i="16"/>
  <c r="AE35" i="16"/>
  <c r="V44" i="16"/>
  <c r="B31" i="15"/>
  <c r="I31" i="15"/>
  <c r="AC9" i="16"/>
  <c r="AA35" i="16" s="1"/>
  <c r="V40" i="16"/>
  <c r="AS14" i="16"/>
  <c r="B27" i="15"/>
  <c r="I27" i="15" s="1"/>
  <c r="C12" i="14"/>
  <c r="E12" i="14" s="1"/>
  <c r="G12" i="14" s="1"/>
  <c r="A13" i="14"/>
  <c r="B13" i="14"/>
  <c r="A14" i="14"/>
  <c r="B14" i="14"/>
  <c r="J21" i="5"/>
  <c r="J40" i="5" s="1"/>
  <c r="L21" i="5"/>
  <c r="C21" i="5"/>
  <c r="E21" i="5"/>
  <c r="E11" i="14"/>
  <c r="L38" i="9"/>
  <c r="L34" i="9"/>
  <c r="L30" i="9"/>
  <c r="O29" i="3"/>
  <c r="I29" i="3"/>
  <c r="E29" i="3"/>
  <c r="M56" i="3"/>
  <c r="U27" i="16"/>
  <c r="U28" i="16"/>
  <c r="H34" i="10"/>
  <c r="C10" i="14"/>
  <c r="E10" i="14" s="1"/>
  <c r="D11" i="14"/>
  <c r="F11" i="14"/>
  <c r="D28" i="3"/>
  <c r="D31" i="3" s="1"/>
  <c r="M19" i="3"/>
  <c r="O58" i="3"/>
  <c r="O62" i="3"/>
  <c r="K58" i="3"/>
  <c r="I58" i="3"/>
  <c r="I62" i="3" s="1"/>
  <c r="E58" i="3"/>
  <c r="E62" i="3" s="1"/>
  <c r="E64" i="3" s="1"/>
  <c r="C58" i="3"/>
  <c r="B57" i="3"/>
  <c r="B61" i="3" s="1"/>
  <c r="N61" i="3"/>
  <c r="N64" i="3" s="1"/>
  <c r="L57" i="3"/>
  <c r="L61" i="3" s="1"/>
  <c r="J57" i="3"/>
  <c r="J61" i="3"/>
  <c r="H57" i="3"/>
  <c r="H61" i="3" s="1"/>
  <c r="H64" i="3" s="1"/>
  <c r="F57" i="3"/>
  <c r="D57" i="3"/>
  <c r="O61" i="3"/>
  <c r="O64" i="3" s="1"/>
  <c r="E11" i="4"/>
  <c r="E24" i="4"/>
  <c r="E16" i="4"/>
  <c r="F31" i="4"/>
  <c r="F29" i="4"/>
  <c r="F27" i="4"/>
  <c r="F25" i="4"/>
  <c r="F23" i="4"/>
  <c r="F21" i="4"/>
  <c r="F19" i="4"/>
  <c r="F17" i="4"/>
  <c r="F15" i="4"/>
  <c r="F13" i="4"/>
  <c r="G11" i="4"/>
  <c r="G12" i="4"/>
  <c r="H14" i="4"/>
  <c r="H12" i="4"/>
  <c r="K11" i="4"/>
  <c r="K31" i="4"/>
  <c r="L31" i="4"/>
  <c r="B13" i="4"/>
  <c r="G13" i="4" s="1"/>
  <c r="N41" i="15"/>
  <c r="N39" i="15"/>
  <c r="N37" i="15"/>
  <c r="N35" i="15"/>
  <c r="N33" i="15"/>
  <c r="N31" i="15"/>
  <c r="N29" i="15"/>
  <c r="N27" i="15"/>
  <c r="N25" i="15"/>
  <c r="J40" i="15"/>
  <c r="J38" i="15"/>
  <c r="J36" i="15"/>
  <c r="J34" i="15"/>
  <c r="J32" i="15"/>
  <c r="J30" i="15"/>
  <c r="J28" i="15"/>
  <c r="J26" i="15"/>
  <c r="J24" i="15"/>
  <c r="L40" i="15"/>
  <c r="L38" i="15"/>
  <c r="L36" i="15"/>
  <c r="L34" i="15"/>
  <c r="L32" i="15"/>
  <c r="L30" i="15"/>
  <c r="L28" i="15"/>
  <c r="L26" i="15"/>
  <c r="L24" i="15"/>
  <c r="G30" i="12" a="1"/>
  <c r="G30" i="12" s="1"/>
  <c r="G34" i="12" a="1"/>
  <c r="G34" i="12"/>
  <c r="G36" i="12"/>
  <c r="G38" i="12" a="1"/>
  <c r="G38" i="12" s="1"/>
  <c r="N58" i="3"/>
  <c r="N62" i="3" s="1"/>
  <c r="L58" i="3"/>
  <c r="L62" i="3" s="1"/>
  <c r="J58" i="3"/>
  <c r="J62" i="3" s="1"/>
  <c r="H58" i="3"/>
  <c r="H62" i="3" s="1"/>
  <c r="F58" i="3"/>
  <c r="F62" i="3"/>
  <c r="B62" i="3"/>
  <c r="C61" i="3"/>
  <c r="M57" i="3"/>
  <c r="I57" i="3"/>
  <c r="I61" i="3" s="1"/>
  <c r="D61" i="3"/>
  <c r="G31" i="4"/>
  <c r="H11" i="4"/>
  <c r="B46" i="3"/>
  <c r="I64" i="3"/>
  <c r="C62" i="3"/>
  <c r="C64" i="3" s="1"/>
  <c r="K24" i="3"/>
  <c r="N41" i="3"/>
  <c r="N45" i="3" s="1"/>
  <c r="O42" i="3"/>
  <c r="O46" i="3"/>
  <c r="I42" i="3"/>
  <c r="I46" i="3" s="1"/>
  <c r="D45" i="12" a="1"/>
  <c r="D45" i="12" s="1"/>
  <c r="G31" i="12"/>
  <c r="G35" i="12"/>
  <c r="G39" i="12"/>
  <c r="W11" i="16"/>
  <c r="W15" i="16"/>
  <c r="W19" i="16"/>
  <c r="U23" i="16"/>
  <c r="U24" i="16"/>
  <c r="W25" i="16"/>
  <c r="V37" i="10"/>
  <c r="H36" i="10"/>
  <c r="L34" i="10"/>
  <c r="P32" i="10"/>
  <c r="N25" i="3"/>
  <c r="N29" i="3" s="1"/>
  <c r="F61" i="3"/>
  <c r="F64" i="3" s="1"/>
  <c r="O24" i="3"/>
  <c r="O28" i="3" s="1"/>
  <c r="I24" i="3"/>
  <c r="I28" i="3"/>
  <c r="I31" i="3" s="1"/>
  <c r="E24" i="3"/>
  <c r="E28" i="3" s="1"/>
  <c r="E31" i="3" s="1"/>
  <c r="D41" i="3"/>
  <c r="D45" i="3" s="1"/>
  <c r="D48" i="3" s="1"/>
  <c r="D42" i="3"/>
  <c r="D46" i="3" s="1"/>
  <c r="K42" i="3"/>
  <c r="K46" i="3" s="1"/>
  <c r="AS27" i="16"/>
  <c r="B40" i="15"/>
  <c r="I40" i="15" s="1"/>
  <c r="AL9" i="16"/>
  <c r="AJ35" i="16"/>
  <c r="AS19" i="16"/>
  <c r="B32" i="15"/>
  <c r="I32" i="15" s="1"/>
  <c r="B28" i="15"/>
  <c r="I28" i="15"/>
  <c r="AS11" i="16"/>
  <c r="B24" i="15"/>
  <c r="I24" i="15"/>
  <c r="I11" i="4"/>
  <c r="I31" i="4"/>
  <c r="I12" i="4"/>
  <c r="I13" i="4"/>
  <c r="D64" i="3"/>
  <c r="J13" i="4"/>
  <c r="J31" i="4"/>
  <c r="J12" i="4"/>
  <c r="J14" i="4"/>
  <c r="J11" i="4"/>
  <c r="B44" i="12" a="1"/>
  <c r="B44" i="12" s="1"/>
  <c r="B64" i="3"/>
  <c r="B24" i="3"/>
  <c r="B28" i="3" s="1"/>
  <c r="M24" i="3"/>
  <c r="B25" i="3"/>
  <c r="B29" i="3" s="1"/>
  <c r="B41" i="3"/>
  <c r="B45" i="3"/>
  <c r="B48" i="3" s="1"/>
  <c r="L41" i="3"/>
  <c r="L45" i="3" s="1"/>
  <c r="L48" i="3" s="1"/>
  <c r="J41" i="3"/>
  <c r="J45" i="3"/>
  <c r="J48" i="3"/>
  <c r="H41" i="3"/>
  <c r="H45" i="3" s="1"/>
  <c r="H48" i="3" s="1"/>
  <c r="F41" i="3"/>
  <c r="F45" i="3" s="1"/>
  <c r="F48" i="3" s="1"/>
  <c r="M42" i="3"/>
  <c r="M46" i="3" s="1"/>
  <c r="U29" i="16"/>
  <c r="U11" i="16"/>
  <c r="U13" i="16"/>
  <c r="U15" i="16"/>
  <c r="U17" i="16"/>
  <c r="U19" i="16"/>
  <c r="U21" i="16"/>
  <c r="U25" i="16"/>
  <c r="M31" i="10"/>
  <c r="N48" i="10"/>
  <c r="P47" i="10"/>
  <c r="R46" i="10"/>
  <c r="T45" i="10"/>
  <c r="V44" i="10"/>
  <c r="F44" i="10"/>
  <c r="H43" i="10"/>
  <c r="J42" i="10"/>
  <c r="L41" i="10"/>
  <c r="N40" i="10"/>
  <c r="P39" i="10"/>
  <c r="R38" i="10"/>
  <c r="T37" i="10"/>
  <c r="V36" i="10"/>
  <c r="F36" i="10"/>
  <c r="H35" i="10"/>
  <c r="J34" i="10"/>
  <c r="L33" i="10"/>
  <c r="N32" i="10"/>
  <c r="L25" i="3"/>
  <c r="L29" i="3" s="1"/>
  <c r="C24" i="3"/>
  <c r="C28" i="3"/>
  <c r="C31" i="3" s="1"/>
  <c r="N24" i="3"/>
  <c r="N28" i="3"/>
  <c r="N31" i="3"/>
  <c r="L24" i="3"/>
  <c r="L28" i="3" s="1"/>
  <c r="L31" i="3" s="1"/>
  <c r="J24" i="3"/>
  <c r="J28" i="3"/>
  <c r="J31" i="3" s="1"/>
  <c r="H24" i="3"/>
  <c r="H28" i="3" s="1"/>
  <c r="H31" i="3" s="1"/>
  <c r="F24" i="3"/>
  <c r="F28" i="3"/>
  <c r="F31" i="3" s="1"/>
  <c r="C41" i="3"/>
  <c r="C45" i="3" s="1"/>
  <c r="C48" i="3"/>
  <c r="E41" i="3"/>
  <c r="E45" i="3" s="1"/>
  <c r="E48" i="3" s="1"/>
  <c r="K48" i="3"/>
  <c r="O48" i="3"/>
  <c r="B31" i="3"/>
  <c r="M41" i="3"/>
  <c r="M45" i="3" s="1"/>
  <c r="M25" i="3"/>
  <c r="AP8" i="16"/>
  <c r="K13" i="4"/>
  <c r="G11" i="14"/>
  <c r="H13" i="4"/>
  <c r="L13" i="4"/>
  <c r="AI28" i="16"/>
  <c r="AG54" i="16" s="1"/>
  <c r="AA28" i="16"/>
  <c r="Y54" i="16" s="1"/>
  <c r="AQ8" i="16"/>
  <c r="AK28" i="16"/>
  <c r="AI54" i="16" s="1"/>
  <c r="AC28" i="16"/>
  <c r="AA54" i="16" s="1"/>
  <c r="J42" i="9" a="1"/>
  <c r="AP24" i="16"/>
  <c r="AN50" i="16" s="1"/>
  <c r="AA24" i="16"/>
  <c r="Y50" i="16" s="1"/>
  <c r="AC24" i="16"/>
  <c r="AA50" i="16"/>
  <c r="AI24" i="16"/>
  <c r="AG50" i="16" s="1"/>
  <c r="AK24" i="16"/>
  <c r="AI50" i="16"/>
  <c r="AO24" i="16"/>
  <c r="AM50" i="16" s="1"/>
  <c r="AM8" i="16"/>
  <c r="AM23" i="16"/>
  <c r="AK49" i="16"/>
  <c r="AL8" i="16"/>
  <c r="AQ23" i="16"/>
  <c r="AO49" i="16" s="1"/>
  <c r="AA23" i="16"/>
  <c r="Y49" i="16"/>
  <c r="AC23" i="16"/>
  <c r="AA49" i="16" s="1"/>
  <c r="AI23" i="16"/>
  <c r="AG49" i="16"/>
  <c r="AK23" i="16"/>
  <c r="AI49" i="16" s="1"/>
  <c r="AO23" i="16"/>
  <c r="AM49" i="16" s="1"/>
  <c r="AP25" i="16"/>
  <c r="AN51" i="16" s="1"/>
  <c r="AL25" i="16"/>
  <c r="AJ51" i="16"/>
  <c r="AN8" i="16"/>
  <c r="AA25" i="16"/>
  <c r="Y51" i="16" s="1"/>
  <c r="AC25" i="16"/>
  <c r="AA51" i="16"/>
  <c r="AI25" i="16"/>
  <c r="AG51" i="16" s="1"/>
  <c r="AK25" i="16"/>
  <c r="AI51" i="16"/>
  <c r="AM25" i="16"/>
  <c r="AK51" i="16" s="1"/>
  <c r="AO25" i="16"/>
  <c r="AM51" i="16" s="1"/>
  <c r="AQ25" i="16"/>
  <c r="AO51" i="16" s="1"/>
  <c r="AP19" i="16"/>
  <c r="AN45" i="16"/>
  <c r="AL19" i="16"/>
  <c r="AJ45" i="16" s="1"/>
  <c r="AH8" i="16"/>
  <c r="AQ19" i="16"/>
  <c r="AO45" i="16"/>
  <c r="AA19" i="16"/>
  <c r="Y45" i="16"/>
  <c r="AC19" i="16"/>
  <c r="AA45" i="16"/>
  <c r="AI19" i="16"/>
  <c r="AG45" i="16"/>
  <c r="AK19" i="16"/>
  <c r="AI45" i="16"/>
  <c r="AM19" i="16"/>
  <c r="AK45" i="16" s="1"/>
  <c r="AO19" i="16"/>
  <c r="AM45" i="16"/>
  <c r="AP15" i="16"/>
  <c r="AN41" i="16" s="1"/>
  <c r="AL15" i="16"/>
  <c r="AJ41" i="16"/>
  <c r="AD8" i="16"/>
  <c r="AD11" i="16" s="1"/>
  <c r="AB37" i="16" s="1"/>
  <c r="AN15" i="16"/>
  <c r="AL41" i="16" s="1"/>
  <c r="AQ15" i="16"/>
  <c r="AO41" i="16" s="1"/>
  <c r="AA15" i="16"/>
  <c r="Y41" i="16" s="1"/>
  <c r="AC15" i="16"/>
  <c r="AA41" i="16" s="1"/>
  <c r="AI15" i="16"/>
  <c r="AG41" i="16" s="1"/>
  <c r="AK15" i="16"/>
  <c r="AI41" i="16" s="1"/>
  <c r="AM15" i="16"/>
  <c r="AK41" i="16" s="1"/>
  <c r="AO15" i="16"/>
  <c r="AM41" i="16" s="1"/>
  <c r="AP11" i="16"/>
  <c r="AN37" i="16" s="1"/>
  <c r="AL11" i="16"/>
  <c r="AJ37" i="16" s="1"/>
  <c r="Z8" i="16"/>
  <c r="AB8" i="16"/>
  <c r="AB11" i="16"/>
  <c r="Z37" i="16" s="1"/>
  <c r="AQ11" i="16"/>
  <c r="AO37" i="16" s="1"/>
  <c r="AH11" i="16"/>
  <c r="AF37" i="16" s="1"/>
  <c r="AA11" i="16"/>
  <c r="Y37" i="16" s="1"/>
  <c r="AC11" i="16"/>
  <c r="AA37" i="16" s="1"/>
  <c r="AI11" i="16"/>
  <c r="AG37" i="16" s="1"/>
  <c r="AK11" i="16"/>
  <c r="AI37" i="16" s="1"/>
  <c r="AM11" i="16"/>
  <c r="AK37" i="16" s="1"/>
  <c r="AO11" i="16"/>
  <c r="AM37" i="16" s="1"/>
  <c r="AP21" i="16"/>
  <c r="AN47" i="16" s="1"/>
  <c r="AL21" i="16"/>
  <c r="AJ47" i="16" s="1"/>
  <c r="AJ8" i="16"/>
  <c r="AQ21" i="16"/>
  <c r="AO47" i="16"/>
  <c r="AA21" i="16"/>
  <c r="Y47" i="16"/>
  <c r="AC21" i="16"/>
  <c r="AA47" i="16"/>
  <c r="AI21" i="16"/>
  <c r="AG47" i="16"/>
  <c r="AK21" i="16"/>
  <c r="AI47" i="16"/>
  <c r="AM21" i="16"/>
  <c r="AK47" i="16"/>
  <c r="AO21" i="16"/>
  <c r="AM47" i="16"/>
  <c r="AP17" i="16"/>
  <c r="AN43" i="16"/>
  <c r="AL17" i="16"/>
  <c r="AJ43" i="16"/>
  <c r="AF8" i="16"/>
  <c r="AF13" i="16"/>
  <c r="AD39" i="16" s="1"/>
  <c r="AQ17" i="16"/>
  <c r="AO43" i="16" s="1"/>
  <c r="AA17" i="16"/>
  <c r="Y43" i="16" s="1"/>
  <c r="AC17" i="16"/>
  <c r="AA43" i="16" s="1"/>
  <c r="AI17" i="16"/>
  <c r="AG43" i="16" s="1"/>
  <c r="AK17" i="16"/>
  <c r="AI43" i="16" s="1"/>
  <c r="AM17" i="16"/>
  <c r="AK43" i="16" s="1"/>
  <c r="AO17" i="16"/>
  <c r="AM43" i="16" s="1"/>
  <c r="AP13" i="16"/>
  <c r="AN39" i="16" s="1"/>
  <c r="AL13" i="16"/>
  <c r="AJ39" i="16" s="1"/>
  <c r="AB19" i="16"/>
  <c r="Z45" i="16" s="1"/>
  <c r="AD13" i="16"/>
  <c r="AB39" i="16" s="1"/>
  <c r="AB13" i="16"/>
  <c r="Z39" i="16" s="1"/>
  <c r="AQ13" i="16"/>
  <c r="AO39" i="16" s="1"/>
  <c r="AA13" i="16"/>
  <c r="Y39" i="16" s="1"/>
  <c r="AC13" i="16"/>
  <c r="AA39" i="16" s="1"/>
  <c r="AI13" i="16"/>
  <c r="AG39" i="16" s="1"/>
  <c r="AK13" i="16"/>
  <c r="AI39" i="16" s="1"/>
  <c r="AM13" i="16"/>
  <c r="AK39" i="16" s="1"/>
  <c r="AO13" i="16"/>
  <c r="AM39" i="16" s="1"/>
  <c r="AR8" i="16"/>
  <c r="AD29" i="16"/>
  <c r="AB55" i="16"/>
  <c r="AL29" i="16"/>
  <c r="AJ55" i="16"/>
  <c r="AP29" i="16"/>
  <c r="AN55" i="16"/>
  <c r="AB29" i="16"/>
  <c r="Z55" i="16"/>
  <c r="AA29" i="16"/>
  <c r="Y55" i="16"/>
  <c r="AC29" i="16"/>
  <c r="AA55" i="16"/>
  <c r="AI29" i="16"/>
  <c r="AG55" i="16"/>
  <c r="AK29" i="16"/>
  <c r="AI55" i="16"/>
  <c r="AM29" i="16"/>
  <c r="AK55" i="16"/>
  <c r="AO29" i="16"/>
  <c r="AM55" i="16"/>
  <c r="AQ29" i="16"/>
  <c r="AO55" i="16"/>
  <c r="AB17" i="16"/>
  <c r="Z43" i="16" s="1"/>
  <c r="AD17" i="16"/>
  <c r="AB43" i="16" s="1"/>
  <c r="AD21" i="16"/>
  <c r="AB47" i="16" s="1"/>
  <c r="AQ24" i="16"/>
  <c r="AO50" i="16" s="1"/>
  <c r="AQ28" i="16"/>
  <c r="AO54" i="16"/>
  <c r="AQ22" i="16"/>
  <c r="AO48" i="16" s="1"/>
  <c r="AQ18" i="16"/>
  <c r="AO44" i="16" s="1"/>
  <c r="AQ14" i="16"/>
  <c r="AO40" i="16" s="1"/>
  <c r="AQ26" i="16"/>
  <c r="AO52" i="16" s="1"/>
  <c r="AQ20" i="16"/>
  <c r="AO46" i="16" s="1"/>
  <c r="AQ12" i="16"/>
  <c r="AO38" i="16" s="1"/>
  <c r="AP28" i="16"/>
  <c r="AN54" i="16" s="1"/>
  <c r="AP14" i="16"/>
  <c r="AN40" i="16" s="1"/>
  <c r="AP22" i="16"/>
  <c r="AN48" i="16" s="1"/>
  <c r="AP12" i="16"/>
  <c r="AN38" i="16" s="1"/>
  <c r="AP20" i="16"/>
  <c r="AN46" i="16" s="1"/>
  <c r="AP23" i="16"/>
  <c r="AN49" i="16" s="1"/>
  <c r="AP18" i="16"/>
  <c r="AN44" i="16" s="1"/>
  <c r="AP26" i="16"/>
  <c r="AN52" i="16" s="1"/>
  <c r="AP27" i="16"/>
  <c r="AN53" i="16" s="1"/>
  <c r="AL28" i="16"/>
  <c r="AJ54" i="16"/>
  <c r="AL26" i="16"/>
  <c r="AJ52" i="16"/>
  <c r="AL22" i="16"/>
  <c r="AJ48" i="16"/>
  <c r="AL20" i="16"/>
  <c r="AJ46" i="16"/>
  <c r="AL18" i="16"/>
  <c r="AJ44" i="16"/>
  <c r="AL14" i="16"/>
  <c r="AJ40" i="16"/>
  <c r="AL12" i="16"/>
  <c r="AJ38" i="16"/>
  <c r="AL23" i="16"/>
  <c r="AJ49" i="16"/>
  <c r="AL27" i="16"/>
  <c r="AJ53" i="16"/>
  <c r="AM22" i="16"/>
  <c r="AK48" i="16"/>
  <c r="AM18" i="16"/>
  <c r="AK44" i="16"/>
  <c r="AM14" i="16"/>
  <c r="AK40" i="16"/>
  <c r="AM26" i="16"/>
  <c r="AK52" i="16"/>
  <c r="AM28" i="16"/>
  <c r="AK54" i="16"/>
  <c r="AM27" i="16"/>
  <c r="AK53" i="16"/>
  <c r="AM20" i="16"/>
  <c r="AK46" i="16"/>
  <c r="AM12" i="16"/>
  <c r="AK38" i="16"/>
  <c r="AJ21" i="16"/>
  <c r="AH47" i="16" s="1"/>
  <c r="AL24" i="16"/>
  <c r="AJ50" i="16" s="1"/>
  <c r="AM24" i="16"/>
  <c r="AK50" i="16" s="1"/>
  <c r="AR28" i="16"/>
  <c r="AP54" i="16"/>
  <c r="AR27" i="16"/>
  <c r="AP53" i="16"/>
  <c r="AR26" i="16"/>
  <c r="AP52" i="16"/>
  <c r="AR24" i="16"/>
  <c r="AP50" i="16"/>
  <c r="AR23" i="16"/>
  <c r="AP49" i="16"/>
  <c r="AR22" i="16"/>
  <c r="AP48" i="16"/>
  <c r="AR20" i="16"/>
  <c r="AP46" i="16"/>
  <c r="AR18" i="16"/>
  <c r="AP44" i="16"/>
  <c r="AR14" i="16"/>
  <c r="AP40" i="16"/>
  <c r="AR12" i="16"/>
  <c r="AP38" i="16"/>
  <c r="AF28" i="16"/>
  <c r="AD54" i="16" s="1"/>
  <c r="AF27" i="16"/>
  <c r="AD53" i="16"/>
  <c r="AF26" i="16"/>
  <c r="AD52" i="16" s="1"/>
  <c r="AF24" i="16"/>
  <c r="AD50" i="16"/>
  <c r="AF23" i="16"/>
  <c r="AD49" i="16" s="1"/>
  <c r="AF22" i="16"/>
  <c r="AD48" i="16"/>
  <c r="AF20" i="16"/>
  <c r="AD46" i="16" s="1"/>
  <c r="AF18" i="16"/>
  <c r="AD44" i="16"/>
  <c r="AF14" i="16"/>
  <c r="AD40" i="16"/>
  <c r="AF12" i="16"/>
  <c r="AD38" i="16" s="1"/>
  <c r="AB27" i="16"/>
  <c r="Z53" i="16"/>
  <c r="AB23" i="16"/>
  <c r="Z49" i="16" s="1"/>
  <c r="AB28" i="16"/>
  <c r="Z54" i="16"/>
  <c r="AB26" i="16"/>
  <c r="Z52" i="16" s="1"/>
  <c r="AB24" i="16"/>
  <c r="Z50" i="16"/>
  <c r="AB22" i="16"/>
  <c r="Z48" i="16" s="1"/>
  <c r="AB20" i="16"/>
  <c r="Z46" i="16"/>
  <c r="AB18" i="16"/>
  <c r="Z44" i="16" s="1"/>
  <c r="AB14" i="16"/>
  <c r="Z40" i="16" s="1"/>
  <c r="AB12" i="16"/>
  <c r="Z38" i="16"/>
  <c r="AJ26" i="16"/>
  <c r="AH52" i="16" s="1"/>
  <c r="AJ22" i="16"/>
  <c r="AH48" i="16" s="1"/>
  <c r="AJ18" i="16"/>
  <c r="AH44" i="16" s="1"/>
  <c r="AJ14" i="16"/>
  <c r="AH40" i="16" s="1"/>
  <c r="AJ12" i="16"/>
  <c r="AH38" i="16" s="1"/>
  <c r="AJ27" i="16"/>
  <c r="AH53" i="16" s="1"/>
  <c r="AJ23" i="16"/>
  <c r="AH49" i="16" s="1"/>
  <c r="AD28" i="16"/>
  <c r="AB54" i="16" s="1"/>
  <c r="AD27" i="16"/>
  <c r="AB53" i="16"/>
  <c r="AD26" i="16"/>
  <c r="AB52" i="16" s="1"/>
  <c r="AD24" i="16"/>
  <c r="AB50" i="16" s="1"/>
  <c r="AD23" i="16"/>
  <c r="AB49" i="16" s="1"/>
  <c r="AD22" i="16"/>
  <c r="AB48" i="16" s="1"/>
  <c r="AD20" i="16"/>
  <c r="AB46" i="16" s="1"/>
  <c r="AD18" i="16"/>
  <c r="AB44" i="16"/>
  <c r="AD14" i="16"/>
  <c r="AB40" i="16"/>
  <c r="AD12" i="16"/>
  <c r="AB38" i="16" s="1"/>
  <c r="AN28" i="16"/>
  <c r="AL54" i="16" s="1"/>
  <c r="AN26" i="16"/>
  <c r="AL52" i="16" s="1"/>
  <c r="AN24" i="16"/>
  <c r="AL50" i="16" s="1"/>
  <c r="AN22" i="16"/>
  <c r="AL48" i="16"/>
  <c r="AN20" i="16"/>
  <c r="AL46" i="16" s="1"/>
  <c r="AN18" i="16"/>
  <c r="AL44" i="16"/>
  <c r="AN14" i="16"/>
  <c r="AL40" i="16" s="1"/>
  <c r="AN12" i="16"/>
  <c r="AL38" i="16" s="1"/>
  <c r="AN27" i="16"/>
  <c r="AL53" i="16" s="1"/>
  <c r="AN23" i="16"/>
  <c r="AL49" i="16" s="1"/>
  <c r="AR13" i="16"/>
  <c r="AP39" i="16" s="1"/>
  <c r="AF21" i="16"/>
  <c r="AD47" i="16"/>
  <c r="AR21" i="16"/>
  <c r="AP47" i="16" s="1"/>
  <c r="AF11" i="16"/>
  <c r="AD37" i="16" s="1"/>
  <c r="AR11" i="16"/>
  <c r="AP37" i="16" s="1"/>
  <c r="Z15" i="16"/>
  <c r="X41" i="16" s="1"/>
  <c r="AF19" i="16"/>
  <c r="AD45" i="16" s="1"/>
  <c r="AR19" i="16"/>
  <c r="AP45" i="16"/>
  <c r="AH25" i="16"/>
  <c r="AF51" i="16" s="1"/>
  <c r="AF25" i="16"/>
  <c r="AD51" i="16" s="1"/>
  <c r="AR25" i="16"/>
  <c r="AP51" i="16" s="1"/>
  <c r="AH29" i="16"/>
  <c r="AF55" i="16" s="1"/>
  <c r="AF29" i="16"/>
  <c r="AD55" i="16"/>
  <c r="AR29" i="16"/>
  <c r="AP55" i="16" s="1"/>
  <c r="AH13" i="16"/>
  <c r="AF39" i="16"/>
  <c r="Z17" i="16"/>
  <c r="X43" i="16" s="1"/>
  <c r="AF17" i="16"/>
  <c r="AD43" i="16" s="1"/>
  <c r="AR17" i="16"/>
  <c r="AP43" i="16" s="1"/>
  <c r="AH21" i="16"/>
  <c r="AF47" i="16" s="1"/>
  <c r="AB21" i="16"/>
  <c r="Z47" i="16" s="1"/>
  <c r="AJ11" i="16"/>
  <c r="AH37" i="16"/>
  <c r="AH15" i="16"/>
  <c r="AF41" i="16"/>
  <c r="AB15" i="16"/>
  <c r="Z41" i="16" s="1"/>
  <c r="AF15" i="16"/>
  <c r="AD41" i="16" s="1"/>
  <c r="AR15" i="16"/>
  <c r="AP41" i="16" s="1"/>
  <c r="AJ19" i="16"/>
  <c r="AH45" i="16" s="1"/>
  <c r="AD19" i="16"/>
  <c r="AB45" i="16"/>
  <c r="AJ25" i="16"/>
  <c r="AH51" i="16" s="1"/>
  <c r="AB25" i="16"/>
  <c r="Z51" i="16"/>
  <c r="AD25" i="16"/>
  <c r="AB51" i="16" s="1"/>
  <c r="R32" i="10" l="1"/>
  <c r="P33" i="10"/>
  <c r="N34" i="10"/>
  <c r="L35" i="10"/>
  <c r="J36" i="10"/>
  <c r="H37" i="10"/>
  <c r="F38" i="10"/>
  <c r="V38" i="10"/>
  <c r="T39" i="10"/>
  <c r="R40" i="10"/>
  <c r="P41" i="10"/>
  <c r="N42" i="10"/>
  <c r="L43" i="10"/>
  <c r="J44" i="10"/>
  <c r="H45" i="10"/>
  <c r="F46" i="10"/>
  <c r="V46" i="10"/>
  <c r="T47" i="10"/>
  <c r="R48" i="10"/>
  <c r="Q31" i="10"/>
  <c r="F33" i="10"/>
  <c r="T34" i="10"/>
  <c r="P36" i="10"/>
  <c r="L38" i="10"/>
  <c r="G32" i="10"/>
  <c r="O32" i="10"/>
  <c r="E33" i="10"/>
  <c r="M33" i="10"/>
  <c r="U33" i="10"/>
  <c r="K34" i="10"/>
  <c r="S34" i="10"/>
  <c r="I35" i="10"/>
  <c r="Q35" i="10"/>
  <c r="G36" i="10"/>
  <c r="O36" i="10"/>
  <c r="E37" i="10"/>
  <c r="M37" i="10"/>
  <c r="U37" i="10"/>
  <c r="K38" i="10"/>
  <c r="S38" i="10"/>
  <c r="I39" i="10"/>
  <c r="Q39" i="10"/>
  <c r="G40" i="10"/>
  <c r="O40" i="10"/>
  <c r="E41" i="10"/>
  <c r="M41" i="10"/>
  <c r="U41" i="10"/>
  <c r="K42" i="10"/>
  <c r="S42" i="10"/>
  <c r="I43" i="10"/>
  <c r="Q43" i="10"/>
  <c r="G44" i="10"/>
  <c r="O44" i="10"/>
  <c r="E45" i="10"/>
  <c r="M45" i="10"/>
  <c r="U45" i="10"/>
  <c r="K46" i="10"/>
  <c r="S46" i="10"/>
  <c r="I47" i="10"/>
  <c r="Q47" i="10"/>
  <c r="G48" i="10"/>
  <c r="O48" i="10"/>
  <c r="F31" i="10"/>
  <c r="N31" i="10"/>
  <c r="V31" i="10"/>
  <c r="F32" i="10"/>
  <c r="H48" i="10"/>
  <c r="R43" i="10"/>
  <c r="J39" i="10"/>
  <c r="E31" i="10"/>
  <c r="H40" i="10"/>
  <c r="V32" i="10"/>
  <c r="T33" i="10"/>
  <c r="R34" i="10"/>
  <c r="P35" i="10"/>
  <c r="N36" i="10"/>
  <c r="L37" i="10"/>
  <c r="J38" i="10"/>
  <c r="H39" i="10"/>
  <c r="F40" i="10"/>
  <c r="V40" i="10"/>
  <c r="T41" i="10"/>
  <c r="R42" i="10"/>
  <c r="P43" i="10"/>
  <c r="N44" i="10"/>
  <c r="L45" i="10"/>
  <c r="J46" i="10"/>
  <c r="H47" i="10"/>
  <c r="F48" i="10"/>
  <c r="V48" i="10"/>
  <c r="U31" i="10"/>
  <c r="N33" i="10"/>
  <c r="J35" i="10"/>
  <c r="F37" i="10"/>
  <c r="L32" i="10"/>
  <c r="I32" i="10"/>
  <c r="Q32" i="10"/>
  <c r="G33" i="10"/>
  <c r="O33" i="10"/>
  <c r="E34" i="10"/>
  <c r="M34" i="10"/>
  <c r="U34" i="10"/>
  <c r="K35" i="10"/>
  <c r="S35" i="10"/>
  <c r="I36" i="10"/>
  <c r="Q36" i="10"/>
  <c r="G37" i="10"/>
  <c r="O37" i="10"/>
  <c r="E38" i="10"/>
  <c r="M38" i="10"/>
  <c r="U38" i="10"/>
  <c r="K39" i="10"/>
  <c r="S39" i="10"/>
  <c r="I40" i="10"/>
  <c r="Q40" i="10"/>
  <c r="G41" i="10"/>
  <c r="O41" i="10"/>
  <c r="E42" i="10"/>
  <c r="M42" i="10"/>
  <c r="U42" i="10"/>
  <c r="K43" i="10"/>
  <c r="S43" i="10"/>
  <c r="I44" i="10"/>
  <c r="Q44" i="10"/>
  <c r="G45" i="10"/>
  <c r="O45" i="10"/>
  <c r="E46" i="10"/>
  <c r="M46" i="10"/>
  <c r="U46" i="10"/>
  <c r="K47" i="10"/>
  <c r="S47" i="10"/>
  <c r="I48" i="10"/>
  <c r="Q48" i="10"/>
  <c r="H31" i="10"/>
  <c r="P31" i="10"/>
  <c r="J47" i="10"/>
  <c r="T42" i="10"/>
  <c r="L36" i="10"/>
  <c r="P44" i="10"/>
  <c r="J32" i="10"/>
  <c r="H33" i="10"/>
  <c r="F34" i="10"/>
  <c r="V34" i="10"/>
  <c r="T35" i="10"/>
  <c r="R36" i="10"/>
  <c r="P37" i="10"/>
  <c r="N38" i="10"/>
  <c r="L39" i="10"/>
  <c r="J40" i="10"/>
  <c r="H41" i="10"/>
  <c r="F42" i="10"/>
  <c r="V42" i="10"/>
  <c r="T43" i="10"/>
  <c r="R44" i="10"/>
  <c r="P45" i="10"/>
  <c r="N46" i="10"/>
  <c r="L47" i="10"/>
  <c r="J48" i="10"/>
  <c r="I31" i="10"/>
  <c r="H32" i="10"/>
  <c r="V33" i="10"/>
  <c r="R35" i="10"/>
  <c r="N37" i="10"/>
  <c r="J33" i="10"/>
  <c r="K32" i="10"/>
  <c r="S32" i="10"/>
  <c r="I33" i="10"/>
  <c r="Q33" i="10"/>
  <c r="G34" i="10"/>
  <c r="O34" i="10"/>
  <c r="E35" i="10"/>
  <c r="M35" i="10"/>
  <c r="U35" i="10"/>
  <c r="K36" i="10"/>
  <c r="S36" i="10"/>
  <c r="I37" i="10"/>
  <c r="Q37" i="10"/>
  <c r="G38" i="10"/>
  <c r="O38" i="10"/>
  <c r="E39" i="10"/>
  <c r="M39" i="10"/>
  <c r="U39" i="10"/>
  <c r="K40" i="10"/>
  <c r="S40" i="10"/>
  <c r="I41" i="10"/>
  <c r="Q41" i="10"/>
  <c r="G42" i="10"/>
  <c r="O42" i="10"/>
  <c r="E43" i="10"/>
  <c r="M43" i="10"/>
  <c r="U43" i="10"/>
  <c r="K44" i="10"/>
  <c r="S44" i="10"/>
  <c r="I45" i="10"/>
  <c r="Q45" i="10"/>
  <c r="G46" i="10"/>
  <c r="O46" i="10"/>
  <c r="E47" i="10"/>
  <c r="M47" i="10"/>
  <c r="U47" i="10"/>
  <c r="K48" i="10"/>
  <c r="S48" i="10"/>
  <c r="J31" i="10"/>
  <c r="R31" i="10"/>
  <c r="L46" i="10"/>
  <c r="F41" i="10"/>
  <c r="J27" i="9"/>
  <c r="J36" i="9"/>
  <c r="F48" i="9"/>
  <c r="J41" i="9"/>
  <c r="J34" i="9"/>
  <c r="J25" i="9"/>
  <c r="J32" i="9"/>
  <c r="J40" i="9"/>
  <c r="J26" i="9"/>
  <c r="J35" i="9"/>
  <c r="B47" i="9"/>
  <c r="J30" i="9"/>
  <c r="J38" i="9"/>
  <c r="J39" i="9"/>
  <c r="J31" i="9"/>
  <c r="J24" i="9"/>
  <c r="J37" i="9"/>
  <c r="D47" i="9"/>
  <c r="B48" i="9"/>
  <c r="B49" i="9" s="1"/>
  <c r="F47" i="9"/>
  <c r="E48" i="9"/>
  <c r="H43" i="15"/>
  <c r="O36" i="15" s="1"/>
  <c r="O26" i="15"/>
  <c r="O38" i="15"/>
  <c r="O37" i="15"/>
  <c r="E8" i="18"/>
  <c r="D11" i="18"/>
  <c r="E12" i="18"/>
  <c r="D15" i="18"/>
  <c r="E16" i="18"/>
  <c r="D19" i="18"/>
  <c r="E20" i="18"/>
  <c r="D23" i="18"/>
  <c r="E24" i="18"/>
  <c r="D27" i="18"/>
  <c r="E28" i="18"/>
  <c r="E11" i="18"/>
  <c r="D14" i="18"/>
  <c r="E19" i="18"/>
  <c r="D22" i="18"/>
  <c r="E27" i="18"/>
  <c r="E15" i="18"/>
  <c r="D18" i="18"/>
  <c r="E23" i="18"/>
  <c r="D26" i="18"/>
  <c r="K37" i="12"/>
  <c r="K33" i="12"/>
  <c r="K32" i="12"/>
  <c r="K39" i="12"/>
  <c r="K36" i="12"/>
  <c r="K24" i="12"/>
  <c r="K40" i="12"/>
  <c r="K35" i="12"/>
  <c r="K29" i="12"/>
  <c r="K26" i="12"/>
  <c r="K34" i="12"/>
  <c r="K30" i="12"/>
  <c r="K31" i="12"/>
  <c r="K38" i="12"/>
  <c r="K23" i="12"/>
  <c r="K27" i="12"/>
  <c r="D10" i="18"/>
  <c r="Z21" i="16"/>
  <c r="X47" i="16" s="1"/>
  <c r="Z27" i="16"/>
  <c r="X53" i="16" s="1"/>
  <c r="Z28" i="16"/>
  <c r="X54" i="16" s="1"/>
  <c r="Z24" i="16"/>
  <c r="X50" i="16" s="1"/>
  <c r="Z20" i="16"/>
  <c r="X46" i="16" s="1"/>
  <c r="Z12" i="16"/>
  <c r="X38" i="16" s="1"/>
  <c r="Z23" i="16"/>
  <c r="X49" i="16" s="1"/>
  <c r="Z26" i="16"/>
  <c r="X52" i="16" s="1"/>
  <c r="Z22" i="16"/>
  <c r="X48" i="16" s="1"/>
  <c r="Z18" i="16"/>
  <c r="X44" i="16" s="1"/>
  <c r="Z14" i="16"/>
  <c r="X40" i="16" s="1"/>
  <c r="Z11" i="16"/>
  <c r="X37" i="16" s="1"/>
  <c r="Z25" i="16"/>
  <c r="X51" i="16" s="1"/>
  <c r="Z29" i="16"/>
  <c r="X55" i="16" s="1"/>
  <c r="Z19" i="16"/>
  <c r="X45" i="16" s="1"/>
  <c r="Z13" i="16"/>
  <c r="X39" i="16" s="1"/>
  <c r="AJ15" i="16"/>
  <c r="AH41" i="16" s="1"/>
  <c r="AJ29" i="16"/>
  <c r="AH55" i="16" s="1"/>
  <c r="AJ13" i="16"/>
  <c r="AH39" i="16" s="1"/>
  <c r="AJ17" i="16"/>
  <c r="AH43" i="16" s="1"/>
  <c r="AJ28" i="16"/>
  <c r="AH54" i="16" s="1"/>
  <c r="AJ24" i="16"/>
  <c r="AH50" i="16" s="1"/>
  <c r="AJ20" i="16"/>
  <c r="AH46" i="16" s="1"/>
  <c r="AN25" i="16"/>
  <c r="AL51" i="16" s="1"/>
  <c r="AN19" i="16"/>
  <c r="AL45" i="16" s="1"/>
  <c r="AN11" i="16"/>
  <c r="AL37" i="16" s="1"/>
  <c r="AN17" i="16"/>
  <c r="AL43" i="16" s="1"/>
  <c r="AN13" i="16"/>
  <c r="AL39" i="16" s="1"/>
  <c r="AN21" i="16"/>
  <c r="AL47" i="16" s="1"/>
  <c r="AN29" i="16"/>
  <c r="AL55" i="16" s="1"/>
  <c r="AH19" i="16"/>
  <c r="AF45" i="16" s="1"/>
  <c r="AH28" i="16"/>
  <c r="AF54" i="16" s="1"/>
  <c r="AH24" i="16"/>
  <c r="AF50" i="16" s="1"/>
  <c r="AH20" i="16"/>
  <c r="AF46" i="16" s="1"/>
  <c r="AH12" i="16"/>
  <c r="AF38" i="16" s="1"/>
  <c r="AH27" i="16"/>
  <c r="AF53" i="16" s="1"/>
  <c r="AH17" i="16"/>
  <c r="AF43" i="16" s="1"/>
  <c r="AH26" i="16"/>
  <c r="AF52" i="16" s="1"/>
  <c r="AH22" i="16"/>
  <c r="AF48" i="16" s="1"/>
  <c r="AH18" i="16"/>
  <c r="AF44" i="16" s="1"/>
  <c r="AH14" i="16"/>
  <c r="AF40" i="16" s="1"/>
  <c r="AH23" i="16"/>
  <c r="AF49" i="16" s="1"/>
  <c r="R34" i="9"/>
  <c r="L14" i="4"/>
  <c r="G14" i="4"/>
  <c r="B22" i="5"/>
  <c r="C22" i="5"/>
  <c r="F22" i="5"/>
  <c r="D22" i="5"/>
  <c r="F6" i="4"/>
  <c r="F7" i="4"/>
  <c r="N13" i="4" s="1"/>
  <c r="P13" i="4" s="1"/>
  <c r="F18" i="4"/>
  <c r="E18" i="4"/>
  <c r="F26" i="4"/>
  <c r="E26" i="4"/>
  <c r="AD15" i="16"/>
  <c r="AB41" i="16" s="1"/>
  <c r="AC27" i="16"/>
  <c r="AA53" i="16" s="1"/>
  <c r="AK27" i="16"/>
  <c r="AI53" i="16" s="1"/>
  <c r="AQ27" i="16"/>
  <c r="AO53" i="16" s="1"/>
  <c r="AA27" i="16"/>
  <c r="Y53" i="16" s="1"/>
  <c r="AI27" i="16"/>
  <c r="AG53" i="16" s="1"/>
  <c r="AO27" i="16"/>
  <c r="AM53" i="16" s="1"/>
  <c r="F14" i="14"/>
  <c r="C14" i="14"/>
  <c r="I42" i="9" a="1"/>
  <c r="I42" i="9" s="1"/>
  <c r="O32" i="9" s="1"/>
  <c r="F42" i="12"/>
  <c r="F44" i="12" a="1"/>
  <c r="F44" i="12" s="1"/>
  <c r="F41" i="12"/>
  <c r="F45" i="12" a="1"/>
  <c r="F45" i="12" s="1"/>
  <c r="E41" i="12"/>
  <c r="E45" i="12" a="1"/>
  <c r="E45" i="12" s="1"/>
  <c r="E44" i="12" a="1"/>
  <c r="E44" i="12" s="1"/>
  <c r="E42" i="12"/>
  <c r="G24" i="12" a="1"/>
  <c r="G24" i="12" s="1"/>
  <c r="D44" i="12" a="1"/>
  <c r="D44" i="12" s="1"/>
  <c r="D41" i="12"/>
  <c r="K25" i="12"/>
  <c r="C44" i="12" a="1"/>
  <c r="C44" i="12" s="1"/>
  <c r="G27" i="12" a="1"/>
  <c r="G27" i="12" s="1"/>
  <c r="B41" i="12"/>
  <c r="K57" i="3"/>
  <c r="K61" i="3" s="1"/>
  <c r="K62" i="3"/>
  <c r="G57" i="3"/>
  <c r="G61" i="3" s="1"/>
  <c r="G64" i="3" s="1"/>
  <c r="G58" i="3"/>
  <c r="G62" i="3" s="1"/>
  <c r="AI46" i="16"/>
  <c r="AI52" i="16"/>
  <c r="AA52" i="16"/>
  <c r="AA46" i="16"/>
  <c r="AO22" i="16"/>
  <c r="AM48" i="16" s="1"/>
  <c r="AO14" i="16"/>
  <c r="AM40" i="16" s="1"/>
  <c r="AO20" i="16"/>
  <c r="AM46" i="16" s="1"/>
  <c r="AO28" i="16"/>
  <c r="AM54" i="16" s="1"/>
  <c r="AO26" i="16"/>
  <c r="AM52" i="16" s="1"/>
  <c r="AO12" i="16"/>
  <c r="AM38" i="16" s="1"/>
  <c r="M48" i="3"/>
  <c r="J64" i="3"/>
  <c r="M58" i="3"/>
  <c r="M61" i="3"/>
  <c r="M62" i="3"/>
  <c r="D14" i="14"/>
  <c r="A15" i="14"/>
  <c r="E14" i="14"/>
  <c r="G14" i="14" s="1"/>
  <c r="AS12" i="16"/>
  <c r="B25" i="15"/>
  <c r="I25" i="15" s="1"/>
  <c r="V38" i="16"/>
  <c r="AI40" i="16"/>
  <c r="K14" i="4"/>
  <c r="A15" i="4"/>
  <c r="I14" i="4"/>
  <c r="V49" i="16"/>
  <c r="B36" i="15"/>
  <c r="I36" i="15" s="1"/>
  <c r="AS23" i="16"/>
  <c r="AD9" i="16"/>
  <c r="AB35" i="16" s="1"/>
  <c r="V41" i="16"/>
  <c r="AS15" i="16"/>
  <c r="F21" i="5"/>
  <c r="F40" i="5" s="1"/>
  <c r="D21" i="5"/>
  <c r="D40" i="5" s="1"/>
  <c r="B21" i="5"/>
  <c r="B40" i="5" s="1"/>
  <c r="O23" i="15"/>
  <c r="O39" i="15"/>
  <c r="O34" i="15"/>
  <c r="E47" i="9"/>
  <c r="C48" i="9"/>
  <c r="D48" i="9"/>
  <c r="D49" i="9" s="1"/>
  <c r="K31" i="3"/>
  <c r="G40" i="3"/>
  <c r="G19" i="3"/>
  <c r="AA22" i="16"/>
  <c r="Y48" i="16" s="1"/>
  <c r="AA14" i="16"/>
  <c r="Y40" i="16" s="1"/>
  <c r="D13" i="18"/>
  <c r="E10" i="18"/>
  <c r="E40" i="5"/>
  <c r="D13" i="14"/>
  <c r="C13" i="14"/>
  <c r="E13" i="14" s="1"/>
  <c r="F13" i="14"/>
  <c r="AA40" i="16"/>
  <c r="Y38" i="16"/>
  <c r="M21" i="5"/>
  <c r="M40" i="5" s="1"/>
  <c r="I21" i="5"/>
  <c r="K21" i="5"/>
  <c r="K40" i="5" s="1"/>
  <c r="F14" i="4"/>
  <c r="E14" i="4"/>
  <c r="F22" i="4"/>
  <c r="E22" i="4"/>
  <c r="F30" i="4"/>
  <c r="E30" i="4"/>
  <c r="O28" i="15"/>
  <c r="M25" i="15"/>
  <c r="M33" i="15"/>
  <c r="M41" i="15"/>
  <c r="M24" i="15"/>
  <c r="M32" i="15"/>
  <c r="M40" i="15"/>
  <c r="M27" i="15"/>
  <c r="M35" i="15"/>
  <c r="M26" i="15"/>
  <c r="M34" i="15"/>
  <c r="M23" i="15"/>
  <c r="M39" i="15"/>
  <c r="M36" i="15"/>
  <c r="M29" i="15"/>
  <c r="M42" i="15"/>
  <c r="M38" i="15"/>
  <c r="O40" i="15"/>
  <c r="O33" i="15"/>
  <c r="O30" i="15"/>
  <c r="O25" i="15"/>
  <c r="C47" i="9"/>
  <c r="W16" i="16"/>
  <c r="X16" i="16"/>
  <c r="U16" i="16"/>
  <c r="V16" i="16"/>
  <c r="AG8" i="16"/>
  <c r="AA18" i="16"/>
  <c r="Y44" i="16" s="1"/>
  <c r="AI18" i="16"/>
  <c r="AG44" i="16" s="1"/>
  <c r="AO18" i="16"/>
  <c r="AM44" i="16" s="1"/>
  <c r="AC18" i="16"/>
  <c r="AA44" i="16" s="1"/>
  <c r="AK18" i="16"/>
  <c r="AI44" i="16" s="1"/>
  <c r="X25" i="16"/>
  <c r="V25" i="16"/>
  <c r="D20" i="18"/>
  <c r="O31" i="3"/>
  <c r="L64" i="3"/>
  <c r="AA9" i="16"/>
  <c r="Y35" i="16" s="1"/>
  <c r="AQ9" i="16"/>
  <c r="AO35" i="16" s="1"/>
  <c r="V54" i="16"/>
  <c r="AS28" i="16"/>
  <c r="O27" i="15"/>
  <c r="F12" i="4"/>
  <c r="E12" i="4"/>
  <c r="F20" i="4"/>
  <c r="E20" i="4"/>
  <c r="F28" i="4"/>
  <c r="E28" i="4"/>
  <c r="O35" i="15"/>
  <c r="O32" i="15"/>
  <c r="O29" i="15"/>
  <c r="G25" i="12" a="1"/>
  <c r="G25" i="12" s="1"/>
  <c r="C45" i="12" a="1"/>
  <c r="C45" i="12" s="1"/>
  <c r="C42" i="12"/>
  <c r="K28" i="12"/>
  <c r="W10" i="16"/>
  <c r="V10" i="16"/>
  <c r="U10" i="16"/>
  <c r="X10" i="16"/>
  <c r="AG52" i="16"/>
  <c r="AA48" i="16"/>
  <c r="L42" i="9" a="1"/>
  <c r="L42" i="9" s="1"/>
  <c r="V47" i="16"/>
  <c r="B34" i="15"/>
  <c r="I34" i="15" s="1"/>
  <c r="V39" i="16"/>
  <c r="B26" i="15"/>
  <c r="I26" i="15" s="1"/>
  <c r="O24" i="15"/>
  <c r="J23" i="15"/>
  <c r="J31" i="15"/>
  <c r="J39" i="15"/>
  <c r="J25" i="15"/>
  <c r="J33" i="15"/>
  <c r="J41" i="15"/>
  <c r="O31" i="15"/>
  <c r="G23" i="12" a="1"/>
  <c r="G23" i="12" s="1"/>
  <c r="C41" i="12"/>
  <c r="B42" i="12"/>
  <c r="I27" i="12" s="1"/>
  <c r="B45" i="12" a="1"/>
  <c r="B45" i="12" s="1"/>
  <c r="G32" i="12" a="1"/>
  <c r="G32" i="12" s="1"/>
  <c r="K25" i="9"/>
  <c r="K33" i="9"/>
  <c r="K41" i="9"/>
  <c r="K39" i="9"/>
  <c r="K28" i="9"/>
  <c r="K36" i="9"/>
  <c r="K27" i="9"/>
  <c r="K37" i="9"/>
  <c r="K30" i="9"/>
  <c r="K38" i="9"/>
  <c r="G42" i="9"/>
  <c r="N40" i="9" s="1"/>
  <c r="D28" i="18"/>
  <c r="D12" i="18"/>
  <c r="AG38" i="16"/>
  <c r="AG46" i="16"/>
  <c r="I22" i="5"/>
  <c r="L22" i="5"/>
  <c r="J29" i="15"/>
  <c r="O42" i="15"/>
  <c r="G28" i="12" a="1"/>
  <c r="G28" i="12" s="1"/>
  <c r="G33" i="12" a="1"/>
  <c r="G33" i="12" s="1"/>
  <c r="AI22" i="16"/>
  <c r="AG48" i="16" s="1"/>
  <c r="AI14" i="16"/>
  <c r="AG40" i="16" s="1"/>
  <c r="AC12" i="16"/>
  <c r="AA38" i="16" s="1"/>
  <c r="AG12" i="16"/>
  <c r="AE38" i="16" s="1"/>
  <c r="AK12" i="16"/>
  <c r="AI38" i="16" s="1"/>
  <c r="D21" i="18"/>
  <c r="M27" i="9"/>
  <c r="M35" i="9"/>
  <c r="E32" i="10"/>
  <c r="F35" i="10"/>
  <c r="T36" i="10"/>
  <c r="P38" i="10"/>
  <c r="N39" i="10"/>
  <c r="L40" i="10"/>
  <c r="J41" i="10"/>
  <c r="H42" i="10"/>
  <c r="F43" i="10"/>
  <c r="V43" i="10"/>
  <c r="T44" i="10"/>
  <c r="R45" i="10"/>
  <c r="P46" i="10"/>
  <c r="N47" i="10"/>
  <c r="L48" i="10"/>
  <c r="K31" i="10"/>
  <c r="T32" i="10"/>
  <c r="N35" i="10"/>
  <c r="J37" i="10"/>
  <c r="T38" i="10"/>
  <c r="R39" i="10"/>
  <c r="P40" i="10"/>
  <c r="N41" i="10"/>
  <c r="L42" i="10"/>
  <c r="J43" i="10"/>
  <c r="H44" i="10"/>
  <c r="F45" i="10"/>
  <c r="V45" i="10"/>
  <c r="T46" i="10"/>
  <c r="R47" i="10"/>
  <c r="P48" i="10"/>
  <c r="O31" i="10"/>
  <c r="R33" i="10"/>
  <c r="V35" i="10"/>
  <c r="R37" i="10"/>
  <c r="F39" i="10"/>
  <c r="V39" i="10"/>
  <c r="T40" i="10"/>
  <c r="R41" i="10"/>
  <c r="P42" i="10"/>
  <c r="N43" i="10"/>
  <c r="L44" i="10"/>
  <c r="J45" i="10"/>
  <c r="H46" i="10"/>
  <c r="F47" i="10"/>
  <c r="V47" i="10"/>
  <c r="T48" i="10"/>
  <c r="S31" i="10"/>
  <c r="N46" i="3"/>
  <c r="N48" i="3" s="1"/>
  <c r="I45" i="3"/>
  <c r="I48" i="3" s="1"/>
  <c r="D25" i="18"/>
  <c r="D17" i="18"/>
  <c r="D9" i="18"/>
  <c r="N42" i="15"/>
  <c r="N34" i="15"/>
  <c r="L41" i="15"/>
  <c r="L33" i="15"/>
  <c r="M29" i="9"/>
  <c r="M23" i="3"/>
  <c r="X23" i="16"/>
  <c r="W23" i="16"/>
  <c r="G31" i="10"/>
  <c r="N45" i="10"/>
  <c r="V41" i="10"/>
  <c r="H38" i="10"/>
  <c r="D24" i="18"/>
  <c r="D16" i="18"/>
  <c r="D8" i="18"/>
  <c r="L15" i="17"/>
  <c r="N14" i="17"/>
  <c r="J14" i="17"/>
  <c r="L13" i="17"/>
  <c r="N12" i="17"/>
  <c r="J12" i="17"/>
  <c r="L11" i="17"/>
  <c r="J18" i="17" s="1" a="1"/>
  <c r="E25" i="18"/>
  <c r="E21" i="18"/>
  <c r="E17" i="18"/>
  <c r="E13" i="18"/>
  <c r="E9" i="18"/>
  <c r="K15" i="17"/>
  <c r="M14" i="17"/>
  <c r="K13" i="17"/>
  <c r="M12" i="17"/>
  <c r="E26" i="18"/>
  <c r="E22" i="18"/>
  <c r="E18" i="18"/>
  <c r="E14" i="18"/>
  <c r="F49" i="9" l="1"/>
  <c r="E49" i="9"/>
  <c r="C49" i="9"/>
  <c r="D47" i="12"/>
  <c r="F47" i="12"/>
  <c r="J42" i="9"/>
  <c r="P38" i="9" s="1"/>
  <c r="N30" i="9"/>
  <c r="O41" i="15"/>
  <c r="L19" i="17"/>
  <c r="N19" i="17"/>
  <c r="L20" i="17"/>
  <c r="N20" i="17"/>
  <c r="L21" i="17"/>
  <c r="M22" i="17"/>
  <c r="K18" i="17"/>
  <c r="M18" i="17"/>
  <c r="J19" i="17"/>
  <c r="M21" i="17"/>
  <c r="J22" i="17"/>
  <c r="N22" i="17"/>
  <c r="K19" i="17"/>
  <c r="M19" i="17"/>
  <c r="J20" i="17"/>
  <c r="M20" i="17"/>
  <c r="J21" i="17"/>
  <c r="K22" i="17"/>
  <c r="N18" i="17"/>
  <c r="L22" i="17"/>
  <c r="L18" i="17"/>
  <c r="K20" i="17"/>
  <c r="K21" i="17"/>
  <c r="J18" i="17"/>
  <c r="N21" i="17"/>
  <c r="L40" i="12"/>
  <c r="L39" i="12"/>
  <c r="L38" i="12"/>
  <c r="L31" i="12"/>
  <c r="L28" i="12"/>
  <c r="L29" i="12"/>
  <c r="L26" i="12"/>
  <c r="L25" i="12"/>
  <c r="L35" i="12"/>
  <c r="L37" i="12"/>
  <c r="L33" i="12"/>
  <c r="L27" i="12"/>
  <c r="L23" i="12"/>
  <c r="L32" i="12"/>
  <c r="L30" i="12"/>
  <c r="L36" i="12"/>
  <c r="L34" i="12"/>
  <c r="M34" i="12"/>
  <c r="M31" i="12"/>
  <c r="M28" i="12"/>
  <c r="M36" i="12"/>
  <c r="M32" i="12"/>
  <c r="M24" i="12"/>
  <c r="M39" i="12"/>
  <c r="M37" i="12"/>
  <c r="M35" i="12"/>
  <c r="M29" i="12"/>
  <c r="M40" i="12"/>
  <c r="M25" i="12"/>
  <c r="M30" i="12"/>
  <c r="M27" i="12"/>
  <c r="M38" i="12"/>
  <c r="M33" i="12"/>
  <c r="M29" i="3"/>
  <c r="M28" i="3"/>
  <c r="T34" i="15"/>
  <c r="N26" i="9"/>
  <c r="N27" i="9"/>
  <c r="N34" i="9"/>
  <c r="N37" i="9"/>
  <c r="N25" i="9"/>
  <c r="N38" i="9"/>
  <c r="N24" i="9"/>
  <c r="N32" i="9"/>
  <c r="N36" i="9"/>
  <c r="N35" i="9"/>
  <c r="N41" i="9"/>
  <c r="N31" i="9"/>
  <c r="I32" i="12"/>
  <c r="J43" i="15" a="1"/>
  <c r="J43" i="15" s="1"/>
  <c r="K42" i="9" a="1"/>
  <c r="K42" i="9" s="1"/>
  <c r="Q30" i="9" s="1"/>
  <c r="Y8" i="16"/>
  <c r="AA10" i="16"/>
  <c r="Y36" i="16" s="1"/>
  <c r="AI10" i="16"/>
  <c r="AG36" i="16" s="1"/>
  <c r="AO10" i="16"/>
  <c r="AM36" i="16" s="1"/>
  <c r="AC10" i="16"/>
  <c r="AA36" i="16" s="1"/>
  <c r="Y10" i="16"/>
  <c r="W36" i="16" s="1"/>
  <c r="AK10" i="16"/>
  <c r="AI36" i="16" s="1"/>
  <c r="AG10" i="16"/>
  <c r="AE36" i="16" s="1"/>
  <c r="AP10" i="16"/>
  <c r="AN36" i="16" s="1"/>
  <c r="AL10" i="16"/>
  <c r="AJ36" i="16" s="1"/>
  <c r="AM10" i="16"/>
  <c r="AK36" i="16" s="1"/>
  <c r="AR10" i="16"/>
  <c r="AP36" i="16" s="1"/>
  <c r="AF10" i="16"/>
  <c r="AD36" i="16" s="1"/>
  <c r="Z10" i="16"/>
  <c r="X36" i="16" s="1"/>
  <c r="AH10" i="16"/>
  <c r="AF36" i="16" s="1"/>
  <c r="AD10" i="16"/>
  <c r="AB36" i="16" s="1"/>
  <c r="AB10" i="16"/>
  <c r="Z36" i="16" s="1"/>
  <c r="AJ10" i="16"/>
  <c r="AH36" i="16" s="1"/>
  <c r="AN10" i="16"/>
  <c r="AL36" i="16" s="1"/>
  <c r="AQ10" i="16"/>
  <c r="AO36" i="16" s="1"/>
  <c r="I30" i="12"/>
  <c r="J38" i="12"/>
  <c r="J33" i="12"/>
  <c r="J32" i="12"/>
  <c r="J35" i="12"/>
  <c r="J23" i="12"/>
  <c r="J29" i="12"/>
  <c r="J36" i="12"/>
  <c r="J25" i="12"/>
  <c r="J30" i="12"/>
  <c r="J31" i="12"/>
  <c r="J24" i="12"/>
  <c r="J40" i="12"/>
  <c r="J37" i="12"/>
  <c r="J34" i="12"/>
  <c r="J39" i="12"/>
  <c r="J28" i="12"/>
  <c r="J27" i="12"/>
  <c r="AS25" i="16"/>
  <c r="B38" i="15"/>
  <c r="I38" i="15" s="1"/>
  <c r="V51" i="16"/>
  <c r="AN9" i="16"/>
  <c r="AL35" i="16" s="1"/>
  <c r="R29" i="15"/>
  <c r="M43" i="15" a="1"/>
  <c r="M43" i="15" s="1"/>
  <c r="S23" i="15" s="1"/>
  <c r="S27" i="15"/>
  <c r="G13" i="14"/>
  <c r="G46" i="3"/>
  <c r="M42" i="9" a="1"/>
  <c r="M42" i="9" s="1"/>
  <c r="O43" i="15" a="1"/>
  <c r="O43" i="15" s="1"/>
  <c r="U23" i="15" s="1"/>
  <c r="M64" i="3"/>
  <c r="K64" i="3"/>
  <c r="P64" i="3" s="1"/>
  <c r="O35" i="9"/>
  <c r="C46" i="12"/>
  <c r="B46" i="12"/>
  <c r="D46" i="12"/>
  <c r="E46" i="12"/>
  <c r="M23" i="12"/>
  <c r="M11" i="4"/>
  <c r="O11" i="4" s="1"/>
  <c r="M31" i="4"/>
  <c r="O31" i="4" s="1"/>
  <c r="M13" i="4"/>
  <c r="O13" i="4" s="1"/>
  <c r="B41" i="5" a="1"/>
  <c r="I41" i="5" a="1"/>
  <c r="L43" i="15" a="1"/>
  <c r="L43" i="15" s="1"/>
  <c r="R23" i="15" s="1"/>
  <c r="C46" i="15" a="1"/>
  <c r="C46" i="15" s="1"/>
  <c r="K43" i="15" a="1"/>
  <c r="K43" i="15" s="1"/>
  <c r="G46" i="15" a="1"/>
  <c r="G46" i="15" s="1"/>
  <c r="D46" i="15" a="1"/>
  <c r="D46" i="15" s="1"/>
  <c r="N43" i="15" a="1"/>
  <c r="N43" i="15" s="1"/>
  <c r="E46" i="15" a="1"/>
  <c r="E46" i="15" s="1"/>
  <c r="E48" i="15" s="1"/>
  <c r="F46" i="15" a="1"/>
  <c r="F46" i="15" s="1"/>
  <c r="I26" i="12"/>
  <c r="S38" i="15"/>
  <c r="S35" i="15"/>
  <c r="G42" i="3"/>
  <c r="G41" i="3"/>
  <c r="G45" i="3" s="1"/>
  <c r="G48" i="3" s="1"/>
  <c r="P48" i="3" s="1"/>
  <c r="G24" i="3"/>
  <c r="G25" i="3"/>
  <c r="O28" i="9"/>
  <c r="O34" i="9"/>
  <c r="O33" i="9"/>
  <c r="O30" i="9"/>
  <c r="O39" i="9"/>
  <c r="O26" i="9"/>
  <c r="O31" i="9"/>
  <c r="O27" i="9"/>
  <c r="O36" i="9"/>
  <c r="O38" i="9"/>
  <c r="O41" i="9"/>
  <c r="O37" i="9"/>
  <c r="O25" i="9"/>
  <c r="C40" i="5"/>
  <c r="K41" i="12" a="1"/>
  <c r="K41" i="12" s="1"/>
  <c r="Q33" i="12" s="1"/>
  <c r="S29" i="9"/>
  <c r="T42" i="15"/>
  <c r="O29" i="9"/>
  <c r="N28" i="9"/>
  <c r="V36" i="16"/>
  <c r="B23" i="15"/>
  <c r="I23" i="15" s="1"/>
  <c r="AS10" i="16"/>
  <c r="Y9" i="16"/>
  <c r="W35" i="16" s="1"/>
  <c r="C47" i="12"/>
  <c r="C48" i="12" s="1"/>
  <c r="T38" i="15"/>
  <c r="P38" i="15"/>
  <c r="AG20" i="16"/>
  <c r="AE46" i="16" s="1"/>
  <c r="AG26" i="16"/>
  <c r="AE52" i="16" s="1"/>
  <c r="AG22" i="16"/>
  <c r="AE48" i="16" s="1"/>
  <c r="AG14" i="16"/>
  <c r="AE40" i="16" s="1"/>
  <c r="AG28" i="16"/>
  <c r="AE54" i="16" s="1"/>
  <c r="AG24" i="16"/>
  <c r="AE50" i="16" s="1"/>
  <c r="AG21" i="16"/>
  <c r="AE47" i="16" s="1"/>
  <c r="AG18" i="16"/>
  <c r="AE44" i="16" s="1"/>
  <c r="AG23" i="16"/>
  <c r="AE49" i="16" s="1"/>
  <c r="AG15" i="16"/>
  <c r="AE41" i="16" s="1"/>
  <c r="AG11" i="16"/>
  <c r="AE37" i="16" s="1"/>
  <c r="AG19" i="16"/>
  <c r="AE45" i="16" s="1"/>
  <c r="AG29" i="16"/>
  <c r="AE55" i="16" s="1"/>
  <c r="AG13" i="16"/>
  <c r="AE39" i="16" s="1"/>
  <c r="AG17" i="16"/>
  <c r="AE43" i="16" s="1"/>
  <c r="AG25" i="16"/>
  <c r="AE51" i="16" s="1"/>
  <c r="S29" i="15"/>
  <c r="S34" i="15"/>
  <c r="S40" i="15"/>
  <c r="S33" i="15"/>
  <c r="B15" i="4"/>
  <c r="I15" i="4"/>
  <c r="G15" i="4"/>
  <c r="A16" i="4"/>
  <c r="K15" i="4"/>
  <c r="A16" i="14"/>
  <c r="B15" i="14"/>
  <c r="D15" i="14" s="1"/>
  <c r="N29" i="9"/>
  <c r="J26" i="12"/>
  <c r="L24" i="12"/>
  <c r="E47" i="12"/>
  <c r="O40" i="9"/>
  <c r="M12" i="4"/>
  <c r="O12" i="4" s="1"/>
  <c r="Q36" i="12"/>
  <c r="R41" i="15"/>
  <c r="I37" i="12"/>
  <c r="I25" i="12"/>
  <c r="I40" i="12"/>
  <c r="I39" i="12"/>
  <c r="I23" i="12"/>
  <c r="I38" i="12"/>
  <c r="I34" i="12"/>
  <c r="I35" i="12"/>
  <c r="I24" i="12"/>
  <c r="I36" i="12"/>
  <c r="I29" i="12"/>
  <c r="I31" i="12"/>
  <c r="I33" i="12"/>
  <c r="I28" i="12"/>
  <c r="AE8" i="16"/>
  <c r="Y16" i="16"/>
  <c r="W42" i="16" s="1"/>
  <c r="AC16" i="16"/>
  <c r="AA42" i="16" s="1"/>
  <c r="AG16" i="16"/>
  <c r="AE42" i="16" s="1"/>
  <c r="AK16" i="16"/>
  <c r="AI42" i="16" s="1"/>
  <c r="AE16" i="16"/>
  <c r="AC42" i="16" s="1"/>
  <c r="AA16" i="16"/>
  <c r="Y42" i="16" s="1"/>
  <c r="AO16" i="16"/>
  <c r="AM42" i="16" s="1"/>
  <c r="AI16" i="16"/>
  <c r="AG42" i="16" s="1"/>
  <c r="AL16" i="16"/>
  <c r="AJ42" i="16" s="1"/>
  <c r="AM16" i="16"/>
  <c r="AK42" i="16" s="1"/>
  <c r="AR16" i="16"/>
  <c r="AP42" i="16" s="1"/>
  <c r="AF16" i="16"/>
  <c r="AD42" i="16" s="1"/>
  <c r="Z16" i="16"/>
  <c r="X42" i="16" s="1"/>
  <c r="AH16" i="16"/>
  <c r="AF42" i="16" s="1"/>
  <c r="AQ16" i="16"/>
  <c r="AO42" i="16" s="1"/>
  <c r="AP16" i="16"/>
  <c r="AN42" i="16" s="1"/>
  <c r="AB16" i="16"/>
  <c r="Z42" i="16" s="1"/>
  <c r="AD16" i="16"/>
  <c r="AB42" i="16" s="1"/>
  <c r="AJ16" i="16"/>
  <c r="AH42" i="16" s="1"/>
  <c r="AN16" i="16"/>
  <c r="AL42" i="16" s="1"/>
  <c r="S39" i="15"/>
  <c r="S24" i="15"/>
  <c r="I40" i="5"/>
  <c r="N11" i="4"/>
  <c r="P11" i="4" s="1"/>
  <c r="N31" i="4"/>
  <c r="P31" i="4" s="1"/>
  <c r="Q34" i="12"/>
  <c r="Q40" i="12"/>
  <c r="R33" i="15"/>
  <c r="L40" i="5"/>
  <c r="B47" i="12"/>
  <c r="R41" i="9"/>
  <c r="R26" i="9"/>
  <c r="R32" i="9"/>
  <c r="R27" i="9"/>
  <c r="R31" i="9"/>
  <c r="R29" i="9"/>
  <c r="R33" i="9"/>
  <c r="R38" i="9"/>
  <c r="R36" i="9"/>
  <c r="R37" i="9"/>
  <c r="R28" i="9"/>
  <c r="R24" i="9"/>
  <c r="R39" i="9"/>
  <c r="R25" i="9"/>
  <c r="R40" i="9"/>
  <c r="R30" i="9"/>
  <c r="R35" i="9"/>
  <c r="G47" i="15" a="1"/>
  <c r="G47" i="15" s="1"/>
  <c r="F47" i="15" a="1"/>
  <c r="F47" i="15" s="1"/>
  <c r="F49" i="15" s="1"/>
  <c r="C47" i="15" a="1"/>
  <c r="C47" i="15" s="1"/>
  <c r="D47" i="15" a="1"/>
  <c r="D47" i="15" s="1"/>
  <c r="E47" i="15" a="1"/>
  <c r="E47" i="15" s="1"/>
  <c r="M26" i="12"/>
  <c r="V42" i="16"/>
  <c r="AE9" i="16"/>
  <c r="AC35" i="16" s="1"/>
  <c r="AS16" i="16"/>
  <c r="B29" i="15"/>
  <c r="I29" i="15" s="1"/>
  <c r="U40" i="15"/>
  <c r="S36" i="15"/>
  <c r="S26" i="15"/>
  <c r="S32" i="15"/>
  <c r="S25" i="15"/>
  <c r="N39" i="9"/>
  <c r="M14" i="4"/>
  <c r="O14" i="4" s="1"/>
  <c r="N33" i="9"/>
  <c r="G41" i="12"/>
  <c r="N28" i="12" s="1"/>
  <c r="Q25" i="12"/>
  <c r="F46" i="12"/>
  <c r="F48" i="12" s="1"/>
  <c r="O24" i="9"/>
  <c r="AG27" i="16"/>
  <c r="AE53" i="16" s="1"/>
  <c r="N12" i="4"/>
  <c r="P12" i="4" s="1"/>
  <c r="N14" i="4"/>
  <c r="P14" i="4" s="1"/>
  <c r="Q27" i="12"/>
  <c r="Q30" i="12"/>
  <c r="Q35" i="12"/>
  <c r="Q39" i="12"/>
  <c r="D48" i="12" l="1"/>
  <c r="P36" i="9"/>
  <c r="P29" i="9"/>
  <c r="P30" i="9"/>
  <c r="P27" i="9"/>
  <c r="P41" i="9"/>
  <c r="P34" i="9"/>
  <c r="P32" i="9"/>
  <c r="P28" i="9"/>
  <c r="P24" i="9"/>
  <c r="P35" i="9"/>
  <c r="P25" i="9"/>
  <c r="P40" i="9"/>
  <c r="P33" i="9"/>
  <c r="P39" i="9"/>
  <c r="P37" i="9"/>
  <c r="P26" i="9"/>
  <c r="P31" i="9"/>
  <c r="B48" i="12"/>
  <c r="Q29" i="12"/>
  <c r="Q37" i="12"/>
  <c r="Q25" i="9"/>
  <c r="N24" i="12"/>
  <c r="Q36" i="9"/>
  <c r="Q23" i="12"/>
  <c r="Q27" i="9"/>
  <c r="Q28" i="9"/>
  <c r="Q38" i="9"/>
  <c r="Q24" i="12"/>
  <c r="Q33" i="9"/>
  <c r="Q41" i="9"/>
  <c r="Q37" i="9"/>
  <c r="U39" i="15"/>
  <c r="U31" i="15"/>
  <c r="U36" i="15"/>
  <c r="U24" i="15"/>
  <c r="U34" i="15"/>
  <c r="U27" i="15"/>
  <c r="U30" i="15"/>
  <c r="U28" i="15"/>
  <c r="U29" i="15"/>
  <c r="U33" i="15"/>
  <c r="U35" i="15"/>
  <c r="S26" i="12"/>
  <c r="Q28" i="15"/>
  <c r="Q27" i="15"/>
  <c r="Q32" i="15"/>
  <c r="Q26" i="15"/>
  <c r="Q24" i="15"/>
  <c r="Q25" i="15"/>
  <c r="Q31" i="15"/>
  <c r="Q30" i="15"/>
  <c r="Q40" i="15"/>
  <c r="Q39" i="15"/>
  <c r="Q41" i="15"/>
  <c r="Q37" i="15"/>
  <c r="Q33" i="15"/>
  <c r="Q34" i="15"/>
  <c r="Q42" i="15"/>
  <c r="Q35" i="15"/>
  <c r="P34" i="15"/>
  <c r="P24" i="15"/>
  <c r="P37" i="15"/>
  <c r="P30" i="15"/>
  <c r="P26" i="15"/>
  <c r="P42" i="15"/>
  <c r="P35" i="15"/>
  <c r="P40" i="15"/>
  <c r="P27" i="15"/>
  <c r="P28" i="15"/>
  <c r="P32" i="15"/>
  <c r="E49" i="15"/>
  <c r="E50" i="15" s="1"/>
  <c r="G49" i="15"/>
  <c r="O38" i="12"/>
  <c r="Q38" i="15"/>
  <c r="P25" i="15"/>
  <c r="O26" i="12"/>
  <c r="T33" i="15"/>
  <c r="T35" i="15"/>
  <c r="T24" i="15"/>
  <c r="T25" i="15"/>
  <c r="T26" i="15"/>
  <c r="T40" i="15"/>
  <c r="T31" i="15"/>
  <c r="T32" i="15"/>
  <c r="T41" i="15"/>
  <c r="T39" i="15"/>
  <c r="T30" i="15"/>
  <c r="T37" i="15"/>
  <c r="T28" i="15"/>
  <c r="T27" i="15"/>
  <c r="C48" i="15"/>
  <c r="Q26" i="12"/>
  <c r="U37" i="15"/>
  <c r="U41" i="15"/>
  <c r="U26" i="15"/>
  <c r="U38" i="15"/>
  <c r="T29" i="15"/>
  <c r="Y20" i="16"/>
  <c r="W46" i="16" s="1"/>
  <c r="Y26" i="16"/>
  <c r="W52" i="16" s="1"/>
  <c r="Y14" i="16"/>
  <c r="W40" i="16" s="1"/>
  <c r="Y28" i="16"/>
  <c r="W54" i="16" s="1"/>
  <c r="Y24" i="16"/>
  <c r="W50" i="16" s="1"/>
  <c r="Y21" i="16"/>
  <c r="W47" i="16" s="1"/>
  <c r="Y25" i="16"/>
  <c r="W51" i="16" s="1"/>
  <c r="Y15" i="16"/>
  <c r="W41" i="16" s="1"/>
  <c r="Y11" i="16"/>
  <c r="W37" i="16" s="1"/>
  <c r="Y22" i="16"/>
  <c r="W48" i="16" s="1"/>
  <c r="Y19" i="16"/>
  <c r="W45" i="16" s="1"/>
  <c r="Y29" i="16"/>
  <c r="W55" i="16" s="1"/>
  <c r="Y13" i="16"/>
  <c r="W39" i="16" s="1"/>
  <c r="Y17" i="16"/>
  <c r="W43" i="16" s="1"/>
  <c r="Y23" i="16"/>
  <c r="W49" i="16" s="1"/>
  <c r="Y12" i="16"/>
  <c r="W38" i="16" s="1"/>
  <c r="Y18" i="16"/>
  <c r="W44" i="16" s="1"/>
  <c r="Y27" i="16"/>
  <c r="W53" i="16" s="1"/>
  <c r="P33" i="15"/>
  <c r="U42" i="15"/>
  <c r="M31" i="3"/>
  <c r="S37" i="12"/>
  <c r="L41" i="12" a="1"/>
  <c r="L41" i="12" s="1"/>
  <c r="R35" i="12" s="1"/>
  <c r="R23" i="12"/>
  <c r="R40" i="12"/>
  <c r="U25" i="15"/>
  <c r="T36" i="15"/>
  <c r="J25" i="17" a="1"/>
  <c r="J24" i="17" a="1"/>
  <c r="G28" i="3"/>
  <c r="B36" i="3"/>
  <c r="Q23" i="15"/>
  <c r="O30" i="12"/>
  <c r="S32" i="12"/>
  <c r="I41" i="12" a="1"/>
  <c r="I41" i="12" s="1"/>
  <c r="O27" i="12" s="1"/>
  <c r="O23" i="12"/>
  <c r="E48" i="12"/>
  <c r="A17" i="14"/>
  <c r="B16" i="14"/>
  <c r="D16" i="14"/>
  <c r="N23" i="12"/>
  <c r="F48" i="15"/>
  <c r="F50" i="15" s="1"/>
  <c r="D48" i="15"/>
  <c r="R26" i="15"/>
  <c r="R28" i="15"/>
  <c r="R39" i="15"/>
  <c r="R37" i="15"/>
  <c r="R24" i="15"/>
  <c r="R35" i="15"/>
  <c r="R25" i="15"/>
  <c r="R30" i="15"/>
  <c r="R42" i="15"/>
  <c r="R34" i="15"/>
  <c r="R31" i="15"/>
  <c r="R40" i="15"/>
  <c r="R27" i="15"/>
  <c r="R32" i="15"/>
  <c r="M41" i="5"/>
  <c r="J41" i="5"/>
  <c r="I41" i="5"/>
  <c r="K41" i="5"/>
  <c r="L41" i="5"/>
  <c r="Q38" i="12"/>
  <c r="B41" i="5"/>
  <c r="C41" i="5"/>
  <c r="D41" i="5"/>
  <c r="F41" i="5"/>
  <c r="E41" i="5"/>
  <c r="S30" i="9"/>
  <c r="S33" i="9"/>
  <c r="S34" i="9"/>
  <c r="S39" i="9"/>
  <c r="S24" i="9"/>
  <c r="S26" i="9"/>
  <c r="S31" i="9"/>
  <c r="S40" i="9"/>
  <c r="S38" i="9"/>
  <c r="S32" i="9"/>
  <c r="S41" i="9"/>
  <c r="S36" i="9"/>
  <c r="S37" i="9"/>
  <c r="S25" i="9"/>
  <c r="S28" i="9"/>
  <c r="S31" i="15"/>
  <c r="S30" i="15"/>
  <c r="S28" i="15"/>
  <c r="S37" i="15"/>
  <c r="U32" i="15"/>
  <c r="Q40" i="9"/>
  <c r="Q29" i="9"/>
  <c r="Q35" i="9"/>
  <c r="Q26" i="9"/>
  <c r="Q34" i="9"/>
  <c r="Q24" i="9"/>
  <c r="Q31" i="9"/>
  <c r="Q32" i="9"/>
  <c r="N42" i="9" a="1"/>
  <c r="N42" i="9" s="1"/>
  <c r="T24" i="9" s="1"/>
  <c r="S40" i="12"/>
  <c r="S39" i="12"/>
  <c r="R36" i="12"/>
  <c r="R27" i="12"/>
  <c r="R25" i="12"/>
  <c r="R31" i="12"/>
  <c r="N27" i="12"/>
  <c r="Q36" i="15"/>
  <c r="R36" i="15"/>
  <c r="C15" i="14"/>
  <c r="E15" i="14" s="1"/>
  <c r="F15" i="14"/>
  <c r="B16" i="4"/>
  <c r="A17" i="4"/>
  <c r="G16" i="4"/>
  <c r="S30" i="12"/>
  <c r="S34" i="12"/>
  <c r="R37" i="12"/>
  <c r="R39" i="12"/>
  <c r="D49" i="15"/>
  <c r="N38" i="12"/>
  <c r="N36" i="12"/>
  <c r="N35" i="12"/>
  <c r="N40" i="12"/>
  <c r="N37" i="12"/>
  <c r="N31" i="12"/>
  <c r="N39" i="12"/>
  <c r="N29" i="12"/>
  <c r="N26" i="12"/>
  <c r="N34" i="12"/>
  <c r="N30" i="12"/>
  <c r="N25" i="12"/>
  <c r="C49" i="15"/>
  <c r="P39" i="15"/>
  <c r="N33" i="12"/>
  <c r="AE22" i="16"/>
  <c r="AC48" i="16" s="1"/>
  <c r="AE14" i="16"/>
  <c r="AC40" i="16" s="1"/>
  <c r="AE28" i="16"/>
  <c r="AC54" i="16" s="1"/>
  <c r="AE12" i="16"/>
  <c r="AC38" i="16" s="1"/>
  <c r="AE26" i="16"/>
  <c r="AC52" i="16" s="1"/>
  <c r="AE20" i="16"/>
  <c r="AC46" i="16" s="1"/>
  <c r="AE19" i="16"/>
  <c r="AC45" i="16" s="1"/>
  <c r="AE29" i="16"/>
  <c r="AC55" i="16" s="1"/>
  <c r="AE24" i="16"/>
  <c r="AC50" i="16" s="1"/>
  <c r="AE17" i="16"/>
  <c r="AC43" i="16" s="1"/>
  <c r="AE13" i="16"/>
  <c r="AC39" i="16" s="1"/>
  <c r="AE25" i="16"/>
  <c r="AC51" i="16" s="1"/>
  <c r="AE21" i="16"/>
  <c r="AC47" i="16" s="1"/>
  <c r="AE15" i="16"/>
  <c r="AC41" i="16" s="1"/>
  <c r="AE11" i="16"/>
  <c r="AC37" i="16" s="1"/>
  <c r="AE23" i="16"/>
  <c r="AC49" i="16" s="1"/>
  <c r="AE27" i="16"/>
  <c r="AC53" i="16" s="1"/>
  <c r="AE18" i="16"/>
  <c r="AC44" i="16" s="1"/>
  <c r="O31" i="12"/>
  <c r="O35" i="12"/>
  <c r="O39" i="12"/>
  <c r="Q31" i="12"/>
  <c r="R24" i="12"/>
  <c r="J15" i="4"/>
  <c r="M15" i="4" s="1"/>
  <c r="O15" i="4" s="1"/>
  <c r="H15" i="4"/>
  <c r="L15" i="4"/>
  <c r="R38" i="15"/>
  <c r="Q28" i="12"/>
  <c r="N32" i="12"/>
  <c r="P29" i="15"/>
  <c r="Q32" i="12"/>
  <c r="B37" i="3"/>
  <c r="G29" i="3"/>
  <c r="T23" i="15"/>
  <c r="G48" i="15"/>
  <c r="P41" i="15"/>
  <c r="M41" i="12" a="1"/>
  <c r="M41" i="12" s="1"/>
  <c r="S36" i="12" s="1"/>
  <c r="S23" i="12"/>
  <c r="S41" i="15"/>
  <c r="S42" i="15"/>
  <c r="Q29" i="15"/>
  <c r="J41" i="12" a="1"/>
  <c r="J41" i="12" s="1"/>
  <c r="P32" i="12" s="1"/>
  <c r="AE10" i="16"/>
  <c r="AC36" i="16" s="1"/>
  <c r="P23" i="15"/>
  <c r="Q39" i="9"/>
  <c r="S27" i="9"/>
  <c r="S27" i="12"/>
  <c r="S29" i="12"/>
  <c r="S24" i="12"/>
  <c r="S31" i="12"/>
  <c r="R30" i="12"/>
  <c r="R33" i="12"/>
  <c r="R26" i="12"/>
  <c r="R38" i="12"/>
  <c r="P31" i="15"/>
  <c r="S35" i="9"/>
  <c r="P36" i="15"/>
  <c r="P37" i="12" l="1"/>
  <c r="P36" i="12"/>
  <c r="P38" i="12"/>
  <c r="P35" i="12"/>
  <c r="P30" i="12"/>
  <c r="P40" i="12"/>
  <c r="P33" i="12"/>
  <c r="P26" i="12"/>
  <c r="T29" i="9"/>
  <c r="T28" i="9"/>
  <c r="T35" i="9"/>
  <c r="T27" i="9"/>
  <c r="T25" i="9"/>
  <c r="T38" i="9"/>
  <c r="C50" i="15"/>
  <c r="I42" i="5"/>
  <c r="L16" i="4"/>
  <c r="J16" i="4"/>
  <c r="H16" i="4"/>
  <c r="T40" i="9"/>
  <c r="T30" i="9"/>
  <c r="P29" i="12"/>
  <c r="F42" i="5"/>
  <c r="J42" i="5"/>
  <c r="N41" i="12" a="1"/>
  <c r="N41" i="12" s="1"/>
  <c r="T31" i="12" s="1"/>
  <c r="C16" i="14"/>
  <c r="E16" i="14" s="1"/>
  <c r="G16" i="14" s="1"/>
  <c r="F16" i="14"/>
  <c r="S35" i="12"/>
  <c r="P25" i="12"/>
  <c r="M24" i="17"/>
  <c r="M28" i="17" s="1"/>
  <c r="K24" i="17"/>
  <c r="J24" i="17"/>
  <c r="N24" i="17"/>
  <c r="L24" i="17"/>
  <c r="L28" i="17" s="1"/>
  <c r="S25" i="12"/>
  <c r="T37" i="9"/>
  <c r="P24" i="12"/>
  <c r="O36" i="12"/>
  <c r="G50" i="15"/>
  <c r="O40" i="12"/>
  <c r="B17" i="4"/>
  <c r="G17" i="4" s="1"/>
  <c r="A18" i="4"/>
  <c r="I17" i="4"/>
  <c r="K17" i="4"/>
  <c r="E42" i="5"/>
  <c r="B42" i="5"/>
  <c r="G31" i="3"/>
  <c r="P31" i="3" s="1"/>
  <c r="P23" i="12"/>
  <c r="P27" i="12"/>
  <c r="T39" i="9"/>
  <c r="D50" i="15"/>
  <c r="T26" i="9"/>
  <c r="K16" i="4"/>
  <c r="S38" i="12"/>
  <c r="T41" i="9"/>
  <c r="P31" i="12"/>
  <c r="D42" i="5"/>
  <c r="L42" i="5"/>
  <c r="M42" i="5"/>
  <c r="O24" i="12"/>
  <c r="R29" i="12"/>
  <c r="P28" i="12"/>
  <c r="M25" i="17"/>
  <c r="M26" i="17" s="1"/>
  <c r="M27" i="17" s="1"/>
  <c r="J25" i="17"/>
  <c r="J26" i="17" s="1"/>
  <c r="N25" i="17"/>
  <c r="N26" i="17" s="1"/>
  <c r="N27" i="17" s="1"/>
  <c r="K25" i="17"/>
  <c r="K26" i="17" s="1"/>
  <c r="K27" i="17" s="1"/>
  <c r="L25" i="17"/>
  <c r="L26" i="17" s="1"/>
  <c r="L27" i="17" s="1"/>
  <c r="R28" i="12"/>
  <c r="R34" i="12"/>
  <c r="S33" i="12"/>
  <c r="T32" i="9"/>
  <c r="P39" i="12"/>
  <c r="O28" i="12"/>
  <c r="O34" i="12"/>
  <c r="T33" i="9"/>
  <c r="B17" i="14"/>
  <c r="D17" i="14"/>
  <c r="A18" i="14"/>
  <c r="V23" i="15" a="1"/>
  <c r="N15" i="4"/>
  <c r="P15" i="4" s="1"/>
  <c r="T36" i="9"/>
  <c r="I16" i="4"/>
  <c r="G15" i="14"/>
  <c r="S28" i="12"/>
  <c r="T34" i="9"/>
  <c r="O32" i="12"/>
  <c r="P34" i="12"/>
  <c r="C42" i="5"/>
  <c r="K42" i="5"/>
  <c r="O37" i="12"/>
  <c r="O33" i="12"/>
  <c r="R32" i="12"/>
  <c r="O29" i="12"/>
  <c r="T31" i="9"/>
  <c r="O25" i="12"/>
  <c r="T25" i="12" l="1"/>
  <c r="T39" i="12"/>
  <c r="T40" i="12"/>
  <c r="W33" i="15"/>
  <c r="Y25" i="15"/>
  <c r="Y33" i="15"/>
  <c r="W42" i="15"/>
  <c r="X27" i="15"/>
  <c r="Z32" i="15"/>
  <c r="V38" i="15"/>
  <c r="AA23" i="15"/>
  <c r="Y39" i="15"/>
  <c r="AA28" i="15"/>
  <c r="AA36" i="15"/>
  <c r="X24" i="15"/>
  <c r="Z29" i="15"/>
  <c r="V35" i="15"/>
  <c r="X40" i="15"/>
  <c r="W31" i="15"/>
  <c r="Y26" i="15"/>
  <c r="Y32" i="15"/>
  <c r="AA42" i="15"/>
  <c r="Z26" i="15"/>
  <c r="X33" i="15"/>
  <c r="X37" i="15"/>
  <c r="AA25" i="15"/>
  <c r="AA37" i="15"/>
  <c r="AA29" i="15"/>
  <c r="W36" i="15"/>
  <c r="V25" i="15"/>
  <c r="V29" i="15"/>
  <c r="Z35" i="15"/>
  <c r="Z39" i="15"/>
  <c r="W37" i="15"/>
  <c r="Y27" i="15"/>
  <c r="Y35" i="15"/>
  <c r="X23" i="15"/>
  <c r="Z28" i="15"/>
  <c r="V34" i="15"/>
  <c r="X39" i="15"/>
  <c r="W28" i="15"/>
  <c r="W23" i="15"/>
  <c r="AA30" i="15"/>
  <c r="W39" i="15"/>
  <c r="Z25" i="15"/>
  <c r="V31" i="15"/>
  <c r="X36" i="15"/>
  <c r="Z41" i="15"/>
  <c r="AA41" i="15"/>
  <c r="Y28" i="15"/>
  <c r="Y38" i="15"/>
  <c r="V24" i="15"/>
  <c r="Z30" i="15"/>
  <c r="Z34" i="15"/>
  <c r="X41" i="15"/>
  <c r="W30" i="15"/>
  <c r="W26" i="15"/>
  <c r="AA31" i="15"/>
  <c r="Y42" i="15"/>
  <c r="X26" i="15"/>
  <c r="V33" i="15"/>
  <c r="V37" i="15"/>
  <c r="X42" i="15"/>
  <c r="AA24" i="15"/>
  <c r="Y40" i="15"/>
  <c r="Y29" i="15"/>
  <c r="Y37" i="15"/>
  <c r="Z24" i="15"/>
  <c r="V30" i="15"/>
  <c r="X35" i="15"/>
  <c r="Z40" i="15"/>
  <c r="W32" i="15"/>
  <c r="W25" i="15"/>
  <c r="AA32" i="15"/>
  <c r="W41" i="15"/>
  <c r="V27" i="15"/>
  <c r="X32" i="15"/>
  <c r="Z37" i="15"/>
  <c r="AA34" i="15"/>
  <c r="Y24" i="15"/>
  <c r="Y34" i="15"/>
  <c r="AA40" i="15"/>
  <c r="V28" i="15"/>
  <c r="V32" i="15"/>
  <c r="Z38" i="15"/>
  <c r="Z42" i="15"/>
  <c r="Y41" i="15"/>
  <c r="AA27" i="15"/>
  <c r="W38" i="15"/>
  <c r="Z23" i="15"/>
  <c r="X30" i="15"/>
  <c r="X34" i="15"/>
  <c r="V41" i="15"/>
  <c r="Y23" i="15"/>
  <c r="X31" i="15"/>
  <c r="AA26" i="15"/>
  <c r="Z33" i="15"/>
  <c r="X25" i="15"/>
  <c r="V40" i="15"/>
  <c r="Z27" i="15"/>
  <c r="Y31" i="15"/>
  <c r="Z36" i="15"/>
  <c r="W35" i="15"/>
  <c r="V39" i="15"/>
  <c r="Y30" i="15"/>
  <c r="X29" i="15"/>
  <c r="AA33" i="15"/>
  <c r="Z31" i="15"/>
  <c r="AA39" i="15"/>
  <c r="V42" i="15"/>
  <c r="V23" i="15"/>
  <c r="W27" i="15"/>
  <c r="Y36" i="15"/>
  <c r="W34" i="15"/>
  <c r="W40" i="15"/>
  <c r="V26" i="15"/>
  <c r="X38" i="15"/>
  <c r="AA35" i="15"/>
  <c r="V36" i="15"/>
  <c r="X28" i="15"/>
  <c r="W24" i="15"/>
  <c r="W29" i="15"/>
  <c r="AA38" i="15"/>
  <c r="N16" i="4"/>
  <c r="P16" i="4" s="1"/>
  <c r="T30" i="12"/>
  <c r="T32" i="12"/>
  <c r="J27" i="17"/>
  <c r="J36" i="17" a="1"/>
  <c r="T29" i="12"/>
  <c r="T34" i="12"/>
  <c r="N28" i="17"/>
  <c r="T26" i="12"/>
  <c r="M16" i="4"/>
  <c r="O16" i="4" s="1"/>
  <c r="T24" i="12"/>
  <c r="T28" i="12"/>
  <c r="T37" i="12"/>
  <c r="C17" i="14"/>
  <c r="E17" i="14" s="1"/>
  <c r="G17" i="14" s="1"/>
  <c r="F17" i="14"/>
  <c r="U24" i="9" a="1"/>
  <c r="K18" i="4"/>
  <c r="A19" i="4"/>
  <c r="G18" i="4"/>
  <c r="B18" i="4"/>
  <c r="I18" i="4"/>
  <c r="T33" i="12"/>
  <c r="J28" i="17"/>
  <c r="J37" i="17" a="1"/>
  <c r="T35" i="12"/>
  <c r="A19" i="14"/>
  <c r="B18" i="14"/>
  <c r="T36" i="12"/>
  <c r="T27" i="12"/>
  <c r="B43" i="5" a="1"/>
  <c r="J17" i="4"/>
  <c r="L17" i="4"/>
  <c r="N17" i="4" s="1"/>
  <c r="P17" i="4" s="1"/>
  <c r="H17" i="4"/>
  <c r="K28" i="17"/>
  <c r="T23" i="12"/>
  <c r="T38" i="12"/>
  <c r="I43" i="5" a="1"/>
  <c r="AG36" i="15" l="1"/>
  <c r="A20" i="14"/>
  <c r="B19" i="14"/>
  <c r="D19" i="14" s="1"/>
  <c r="L37" i="17"/>
  <c r="K37" i="17"/>
  <c r="J37" i="17"/>
  <c r="N37" i="17"/>
  <c r="M37" i="17"/>
  <c r="K19" i="4"/>
  <c r="A20" i="4"/>
  <c r="I19" i="4"/>
  <c r="B19" i="4"/>
  <c r="N38" i="17"/>
  <c r="G8" i="17" s="1"/>
  <c r="AC24" i="15"/>
  <c r="AD38" i="15"/>
  <c r="AE36" i="15"/>
  <c r="AG39" i="15"/>
  <c r="AE30" i="15"/>
  <c r="AE31" i="15"/>
  <c r="AF33" i="15"/>
  <c r="AB41" i="15"/>
  <c r="AC38" i="15"/>
  <c r="AF38" i="15"/>
  <c r="AE34" i="15"/>
  <c r="AD32" i="15"/>
  <c r="AC25" i="15"/>
  <c r="AB30" i="15"/>
  <c r="AE40" i="15"/>
  <c r="AB33" i="15"/>
  <c r="AC26" i="15"/>
  <c r="AF30" i="15"/>
  <c r="AG41" i="15"/>
  <c r="AF25" i="15"/>
  <c r="AC28" i="15"/>
  <c r="AD23" i="15"/>
  <c r="AF39" i="15"/>
  <c r="AC36" i="15"/>
  <c r="AD37" i="15"/>
  <c r="AE32" i="15"/>
  <c r="AB35" i="15"/>
  <c r="AG28" i="15"/>
  <c r="AF32" i="15"/>
  <c r="AE25" i="15"/>
  <c r="U23" i="12" a="1"/>
  <c r="AG35" i="15"/>
  <c r="AB42" i="15"/>
  <c r="AF36" i="15"/>
  <c r="AE23" i="15"/>
  <c r="AF42" i="15"/>
  <c r="AF37" i="15"/>
  <c r="AD35" i="15"/>
  <c r="AB37" i="15"/>
  <c r="AF34" i="15"/>
  <c r="AB31" i="15"/>
  <c r="AF28" i="15"/>
  <c r="AB25" i="15"/>
  <c r="AG42" i="15"/>
  <c r="AB38" i="15"/>
  <c r="M43" i="5"/>
  <c r="M44" i="5" s="1"/>
  <c r="M16" i="5" s="1"/>
  <c r="M17" i="5" s="1"/>
  <c r="L43" i="5"/>
  <c r="L44" i="5" s="1"/>
  <c r="L16" i="5" s="1"/>
  <c r="L17" i="5" s="1"/>
  <c r="J43" i="5"/>
  <c r="J44" i="5" s="1"/>
  <c r="J16" i="5" s="1"/>
  <c r="J17" i="5" s="1"/>
  <c r="K43" i="5"/>
  <c r="K44" i="5" s="1"/>
  <c r="K16" i="5" s="1"/>
  <c r="K17" i="5" s="1"/>
  <c r="I43" i="5"/>
  <c r="I44" i="5" s="1"/>
  <c r="I16" i="5" s="1"/>
  <c r="I17" i="5" s="1"/>
  <c r="K38" i="17"/>
  <c r="D8" i="17" s="1"/>
  <c r="M17" i="4"/>
  <c r="O17" i="4" s="1"/>
  <c r="F18" i="14"/>
  <c r="C18" i="14"/>
  <c r="E18" i="14" s="1"/>
  <c r="D18" i="14"/>
  <c r="M18" i="4"/>
  <c r="O18" i="4" s="1"/>
  <c r="L36" i="17"/>
  <c r="L38" i="17" s="1"/>
  <c r="E8" i="17" s="1"/>
  <c r="M36" i="17"/>
  <c r="M38" i="17" s="1"/>
  <c r="F8" i="17" s="1"/>
  <c r="J36" i="17"/>
  <c r="J38" i="17" s="1"/>
  <c r="C8" i="17" s="1"/>
  <c r="N36" i="17"/>
  <c r="K36" i="17"/>
  <c r="AD28" i="15"/>
  <c r="AB26" i="15"/>
  <c r="AC27" i="15"/>
  <c r="AF31" i="15"/>
  <c r="AB39" i="15"/>
  <c r="AF27" i="15"/>
  <c r="AG26" i="15"/>
  <c r="AD34" i="15"/>
  <c r="AG27" i="15"/>
  <c r="AB32" i="15"/>
  <c r="AE24" i="15"/>
  <c r="AB27" i="15"/>
  <c r="AC32" i="15"/>
  <c r="AF24" i="15"/>
  <c r="AG24" i="15"/>
  <c r="AD26" i="15"/>
  <c r="AC30" i="15"/>
  <c r="AB24" i="15"/>
  <c r="AF41" i="15"/>
  <c r="AC39" i="15"/>
  <c r="AD39" i="15"/>
  <c r="AE35" i="15"/>
  <c r="AF35" i="15"/>
  <c r="AG29" i="15"/>
  <c r="AD33" i="15"/>
  <c r="AE26" i="15"/>
  <c r="AF29" i="15"/>
  <c r="AE39" i="15"/>
  <c r="AD27" i="15"/>
  <c r="AC33" i="15"/>
  <c r="V41" i="9"/>
  <c r="X38" i="9"/>
  <c r="Z35" i="9"/>
  <c r="V33" i="9"/>
  <c r="X30" i="9"/>
  <c r="Z27" i="9"/>
  <c r="V25" i="9"/>
  <c r="U39" i="9"/>
  <c r="Y33" i="9"/>
  <c r="W28" i="9"/>
  <c r="Y40" i="9"/>
  <c r="W35" i="9"/>
  <c r="U30" i="9"/>
  <c r="Y24" i="9"/>
  <c r="X39" i="9"/>
  <c r="Z36" i="9"/>
  <c r="V34" i="9"/>
  <c r="X31" i="9"/>
  <c r="Z28" i="9"/>
  <c r="V26" i="9"/>
  <c r="U41" i="9"/>
  <c r="Y35" i="9"/>
  <c r="W30" i="9"/>
  <c r="U25" i="9"/>
  <c r="W37" i="9"/>
  <c r="U32" i="9"/>
  <c r="Y26" i="9"/>
  <c r="Z41" i="9"/>
  <c r="V39" i="9"/>
  <c r="X36" i="9"/>
  <c r="Z33" i="9"/>
  <c r="V31" i="9"/>
  <c r="X28" i="9"/>
  <c r="Z25" i="9"/>
  <c r="W40" i="9"/>
  <c r="U35" i="9"/>
  <c r="Y29" i="9"/>
  <c r="W24" i="9"/>
  <c r="Y36" i="9"/>
  <c r="W31" i="9"/>
  <c r="U26" i="9"/>
  <c r="V40" i="9"/>
  <c r="X37" i="9"/>
  <c r="Z34" i="9"/>
  <c r="V32" i="9"/>
  <c r="X29" i="9"/>
  <c r="Z26" i="9"/>
  <c r="V24" i="9"/>
  <c r="U37" i="9"/>
  <c r="Y31" i="9"/>
  <c r="W26" i="9"/>
  <c r="Y38" i="9"/>
  <c r="W33" i="9"/>
  <c r="U28" i="9"/>
  <c r="Z31" i="9"/>
  <c r="W36" i="9"/>
  <c r="Y32" i="9"/>
  <c r="X35" i="9"/>
  <c r="Z24" i="9"/>
  <c r="U40" i="9"/>
  <c r="X40" i="9"/>
  <c r="Z29" i="9"/>
  <c r="W32" i="9"/>
  <c r="Y28" i="9"/>
  <c r="X33" i="9"/>
  <c r="Y39" i="9"/>
  <c r="U36" i="9"/>
  <c r="Z39" i="9"/>
  <c r="V29" i="9"/>
  <c r="U31" i="9"/>
  <c r="W27" i="9"/>
  <c r="Z32" i="9"/>
  <c r="W38" i="9"/>
  <c r="Y34" i="9"/>
  <c r="Z37" i="9"/>
  <c r="V27" i="9"/>
  <c r="U27" i="9"/>
  <c r="X41" i="9"/>
  <c r="Z30" i="9"/>
  <c r="W34" i="9"/>
  <c r="Y30" i="9"/>
  <c r="V37" i="9"/>
  <c r="X26" i="9"/>
  <c r="Y25" i="9"/>
  <c r="Z40" i="9"/>
  <c r="V30" i="9"/>
  <c r="U33" i="9"/>
  <c r="W29" i="9"/>
  <c r="V35" i="9"/>
  <c r="X24" i="9"/>
  <c r="W39" i="9"/>
  <c r="Z38" i="9"/>
  <c r="V28" i="9"/>
  <c r="U29" i="9"/>
  <c r="W25" i="9"/>
  <c r="V38" i="9"/>
  <c r="X32" i="9"/>
  <c r="X25" i="9"/>
  <c r="X34" i="9"/>
  <c r="X27" i="9"/>
  <c r="Y37" i="9"/>
  <c r="W41" i="9"/>
  <c r="Y41" i="9"/>
  <c r="Y27" i="9"/>
  <c r="U34" i="9"/>
  <c r="U38" i="9"/>
  <c r="U24" i="9"/>
  <c r="V36" i="9"/>
  <c r="AC29" i="15"/>
  <c r="AC34" i="15"/>
  <c r="AD29" i="15"/>
  <c r="AD25" i="15"/>
  <c r="AF23" i="15"/>
  <c r="AG40" i="15"/>
  <c r="AG32" i="15"/>
  <c r="AE29" i="15"/>
  <c r="AG31" i="15"/>
  <c r="AE28" i="15"/>
  <c r="AC23" i="15"/>
  <c r="AC37" i="15"/>
  <c r="AG25" i="15"/>
  <c r="AD40" i="15"/>
  <c r="AE33" i="15"/>
  <c r="B43" i="5"/>
  <c r="B44" i="5" s="1"/>
  <c r="B16" i="5" s="1"/>
  <c r="C43" i="5"/>
  <c r="C44" i="5" s="1"/>
  <c r="C16" i="5" s="1"/>
  <c r="D43" i="5"/>
  <c r="D44" i="5" s="1"/>
  <c r="D16" i="5" s="1"/>
  <c r="E43" i="5"/>
  <c r="E44" i="5" s="1"/>
  <c r="E16" i="5" s="1"/>
  <c r="E17" i="5" s="1"/>
  <c r="F43" i="5"/>
  <c r="F44" i="5" s="1"/>
  <c r="F16" i="5" s="1"/>
  <c r="F17" i="5" s="1"/>
  <c r="J18" i="4"/>
  <c r="H18" i="4"/>
  <c r="L18" i="4"/>
  <c r="AG38" i="15"/>
  <c r="AB36" i="15"/>
  <c r="AC40" i="15"/>
  <c r="AB23" i="15"/>
  <c r="AG33" i="15"/>
  <c r="AC35" i="15"/>
  <c r="AB40" i="15"/>
  <c r="AD31" i="15"/>
  <c r="AD30" i="15"/>
  <c r="AE41" i="15"/>
  <c r="AB28" i="15"/>
  <c r="AG34" i="15"/>
  <c r="AC41" i="15"/>
  <c r="AF40" i="15"/>
  <c r="AE37" i="15"/>
  <c r="AD42" i="15"/>
  <c r="AE42" i="15"/>
  <c r="AD41" i="15"/>
  <c r="AE38" i="15"/>
  <c r="AD36" i="15"/>
  <c r="AG30" i="15"/>
  <c r="AB34" i="15"/>
  <c r="AE27" i="15"/>
  <c r="AB29" i="15"/>
  <c r="AG37" i="15"/>
  <c r="AF26" i="15"/>
  <c r="AC31" i="15"/>
  <c r="AD24" i="15"/>
  <c r="AG23" i="15"/>
  <c r="AC42" i="15"/>
  <c r="AH23" i="15" l="1" a="1"/>
  <c r="AI23" i="15" s="1"/>
  <c r="AO23" i="15" s="1"/>
  <c r="AD27" i="9"/>
  <c r="AF38" i="9"/>
  <c r="AC34" i="9"/>
  <c r="AF32" i="9"/>
  <c r="AA40" i="9"/>
  <c r="AE38" i="9"/>
  <c r="AF34" i="9"/>
  <c r="AA35" i="9"/>
  <c r="AA25" i="9"/>
  <c r="AC35" i="9"/>
  <c r="D17" i="5"/>
  <c r="R12" i="5"/>
  <c r="AA24" i="9"/>
  <c r="AE41" i="9"/>
  <c r="AD34" i="9"/>
  <c r="AC25" i="9"/>
  <c r="AC39" i="9"/>
  <c r="AA33" i="9"/>
  <c r="AD26" i="9"/>
  <c r="AF30" i="9"/>
  <c r="AF37" i="9"/>
  <c r="AC27" i="9"/>
  <c r="AA36" i="9"/>
  <c r="AC32" i="9"/>
  <c r="AF24" i="9"/>
  <c r="AF31" i="9"/>
  <c r="AC26" i="9"/>
  <c r="AF26" i="9"/>
  <c r="AD37" i="9"/>
  <c r="AE36" i="9"/>
  <c r="AC40" i="9"/>
  <c r="AF33" i="9"/>
  <c r="AE26" i="9"/>
  <c r="AC30" i="9"/>
  <c r="AF28" i="9"/>
  <c r="AD39" i="9"/>
  <c r="AE40" i="9"/>
  <c r="AB25" i="9"/>
  <c r="AF35" i="9"/>
  <c r="L19" i="4"/>
  <c r="J19" i="4"/>
  <c r="H19" i="4"/>
  <c r="G19" i="4"/>
  <c r="M19" i="4" s="1"/>
  <c r="O19" i="4" s="1"/>
  <c r="AB36" i="9"/>
  <c r="AE27" i="9"/>
  <c r="AB38" i="9"/>
  <c r="AC29" i="9"/>
  <c r="AB27" i="9"/>
  <c r="AF39" i="9"/>
  <c r="AE28" i="9"/>
  <c r="AC36" i="9"/>
  <c r="AB24" i="9"/>
  <c r="AC31" i="9"/>
  <c r="AB31" i="9"/>
  <c r="AF41" i="9"/>
  <c r="AB26" i="9"/>
  <c r="AF36" i="9"/>
  <c r="AA39" i="9"/>
  <c r="AB33" i="9"/>
  <c r="AA38" i="9"/>
  <c r="AD25" i="9"/>
  <c r="AA29" i="9"/>
  <c r="AD24" i="9"/>
  <c r="AB30" i="9"/>
  <c r="AB37" i="9"/>
  <c r="AD41" i="9"/>
  <c r="AE34" i="9"/>
  <c r="AA31" i="9"/>
  <c r="AE39" i="9"/>
  <c r="AF29" i="9"/>
  <c r="AD35" i="9"/>
  <c r="AE31" i="9"/>
  <c r="AD29" i="9"/>
  <c r="AB40" i="9"/>
  <c r="AC24" i="9"/>
  <c r="AF25" i="9"/>
  <c r="AD36" i="9"/>
  <c r="AA32" i="9"/>
  <c r="AE35" i="9"/>
  <c r="AD31" i="9"/>
  <c r="AE24" i="9"/>
  <c r="AC28" i="9"/>
  <c r="AF27" i="9"/>
  <c r="AD38" i="9"/>
  <c r="Y39" i="12"/>
  <c r="U37" i="12"/>
  <c r="W34" i="12"/>
  <c r="Y31" i="12"/>
  <c r="U29" i="12"/>
  <c r="W26" i="12"/>
  <c r="Y23" i="12"/>
  <c r="V37" i="12"/>
  <c r="Z31" i="12"/>
  <c r="V27" i="12"/>
  <c r="V40" i="12"/>
  <c r="V34" i="12"/>
  <c r="X27" i="12"/>
  <c r="V26" i="12"/>
  <c r="Y38" i="12"/>
  <c r="U36" i="12"/>
  <c r="W33" i="12"/>
  <c r="Y30" i="12"/>
  <c r="U28" i="12"/>
  <c r="W25" i="12"/>
  <c r="X40" i="12"/>
  <c r="V35" i="12"/>
  <c r="V29" i="12"/>
  <c r="Z23" i="12"/>
  <c r="V36" i="12"/>
  <c r="V30" i="12"/>
  <c r="Z24" i="12"/>
  <c r="W40" i="12"/>
  <c r="Y37" i="12"/>
  <c r="U35" i="12"/>
  <c r="W32" i="12"/>
  <c r="Y29" i="12"/>
  <c r="U27" i="12"/>
  <c r="W24" i="12"/>
  <c r="X38" i="12"/>
  <c r="V33" i="12"/>
  <c r="X28" i="12"/>
  <c r="V23" i="12"/>
  <c r="X23" i="12"/>
  <c r="V25" i="12"/>
  <c r="U26" i="12"/>
  <c r="W27" i="12"/>
  <c r="Y28" i="12"/>
  <c r="X29" i="12"/>
  <c r="X30" i="12"/>
  <c r="X31" i="12"/>
  <c r="Z32" i="12"/>
  <c r="U34" i="12"/>
  <c r="W35" i="12"/>
  <c r="X36" i="12"/>
  <c r="Z36" i="12"/>
  <c r="V38" i="12"/>
  <c r="V39" i="12"/>
  <c r="Y40" i="12"/>
  <c r="Y35" i="12"/>
  <c r="W30" i="12"/>
  <c r="U25" i="12"/>
  <c r="X34" i="12"/>
  <c r="X24" i="12"/>
  <c r="Z30" i="12"/>
  <c r="U40" i="12"/>
  <c r="Y34" i="12"/>
  <c r="W29" i="12"/>
  <c r="U24" i="12"/>
  <c r="X32" i="12"/>
  <c r="X39" i="12"/>
  <c r="V28" i="12"/>
  <c r="U39" i="12"/>
  <c r="Y33" i="12"/>
  <c r="W28" i="12"/>
  <c r="U23" i="12"/>
  <c r="V31" i="12"/>
  <c r="W23" i="12"/>
  <c r="X25" i="12"/>
  <c r="Z27" i="12"/>
  <c r="U30" i="12"/>
  <c r="Y32" i="12"/>
  <c r="Z34" i="12"/>
  <c r="Y36" i="12"/>
  <c r="Z38" i="12"/>
  <c r="Z40" i="12"/>
  <c r="U33" i="12"/>
  <c r="X37" i="12"/>
  <c r="Y26" i="12"/>
  <c r="V32" i="12"/>
  <c r="Z35" i="12"/>
  <c r="Z28" i="12"/>
  <c r="U38" i="12"/>
  <c r="Y27" i="12"/>
  <c r="V24" i="12"/>
  <c r="Z37" i="12"/>
  <c r="W36" i="12"/>
  <c r="Z25" i="12"/>
  <c r="W31" i="12"/>
  <c r="W39" i="12"/>
  <c r="Z26" i="12"/>
  <c r="Z39" i="12"/>
  <c r="W37" i="12"/>
  <c r="X26" i="12"/>
  <c r="U31" i="12"/>
  <c r="Y24" i="12"/>
  <c r="Z33" i="12"/>
  <c r="W38" i="12"/>
  <c r="Z29" i="12"/>
  <c r="U32" i="12"/>
  <c r="X33" i="12"/>
  <c r="Y25" i="12"/>
  <c r="X35" i="12"/>
  <c r="F19" i="14"/>
  <c r="C19" i="14"/>
  <c r="E19" i="14" s="1"/>
  <c r="AE25" i="9"/>
  <c r="C17" i="5"/>
  <c r="Q12" i="5"/>
  <c r="AC41" i="9"/>
  <c r="AA28" i="9"/>
  <c r="N18" i="4"/>
  <c r="P18" i="4" s="1"/>
  <c r="B17" i="5"/>
  <c r="P12" i="5"/>
  <c r="AA34" i="9"/>
  <c r="AE37" i="9"/>
  <c r="AD32" i="9"/>
  <c r="AB28" i="9"/>
  <c r="AB35" i="9"/>
  <c r="AF40" i="9"/>
  <c r="AE30" i="9"/>
  <c r="AA27" i="9"/>
  <c r="AC38" i="9"/>
  <c r="AB29" i="9"/>
  <c r="AD33" i="9"/>
  <c r="AD40" i="9"/>
  <c r="AE32" i="9"/>
  <c r="AC33" i="9"/>
  <c r="AA37" i="9"/>
  <c r="AB32" i="9"/>
  <c r="AA26" i="9"/>
  <c r="AE29" i="9"/>
  <c r="AD28" i="9"/>
  <c r="AB39" i="9"/>
  <c r="AC37" i="9"/>
  <c r="AA41" i="9"/>
  <c r="AB34" i="9"/>
  <c r="AA30" i="9"/>
  <c r="AE33" i="9"/>
  <c r="AD30" i="9"/>
  <c r="AB41" i="9"/>
  <c r="G18" i="14"/>
  <c r="A21" i="4"/>
  <c r="B20" i="4"/>
  <c r="K20" i="4" s="1"/>
  <c r="A21" i="14"/>
  <c r="B20" i="14"/>
  <c r="AK27" i="15" l="1"/>
  <c r="AQ27" i="15" s="1"/>
  <c r="AL31" i="15"/>
  <c r="AR31" i="15" s="1"/>
  <c r="AK33" i="15"/>
  <c r="AQ33" i="15" s="1"/>
  <c r="AK31" i="15"/>
  <c r="AQ31" i="15" s="1"/>
  <c r="AL23" i="15"/>
  <c r="AR23" i="15" s="1"/>
  <c r="AL25" i="15"/>
  <c r="AR25" i="15" s="1"/>
  <c r="AH30" i="15"/>
  <c r="AN30" i="15" s="1"/>
  <c r="AK38" i="15"/>
  <c r="AQ38" i="15" s="1"/>
  <c r="AK30" i="15"/>
  <c r="AQ30" i="15" s="1"/>
  <c r="AJ29" i="15"/>
  <c r="AP29" i="15" s="1"/>
  <c r="AH24" i="15"/>
  <c r="AN24" i="15" s="1"/>
  <c r="AH40" i="15"/>
  <c r="AN40" i="15" s="1"/>
  <c r="AH41" i="15"/>
  <c r="AN41" i="15" s="1"/>
  <c r="AL35" i="15"/>
  <c r="AR35" i="15" s="1"/>
  <c r="AJ30" i="15"/>
  <c r="AP30" i="15" s="1"/>
  <c r="AJ41" i="15"/>
  <c r="AP41" i="15" s="1"/>
  <c r="AK41" i="15"/>
  <c r="AQ41" i="15" s="1"/>
  <c r="AM30" i="15"/>
  <c r="AS30" i="15" s="1"/>
  <c r="AJ37" i="15"/>
  <c r="AP37" i="15" s="1"/>
  <c r="AK39" i="15"/>
  <c r="AQ39" i="15" s="1"/>
  <c r="AM28" i="15"/>
  <c r="AS28" i="15" s="1"/>
  <c r="AJ40" i="15"/>
  <c r="AP40" i="15" s="1"/>
  <c r="AH35" i="15"/>
  <c r="AN35" i="15" s="1"/>
  <c r="AL29" i="15"/>
  <c r="AR29" i="15" s="1"/>
  <c r="AL38" i="15"/>
  <c r="AR38" i="15" s="1"/>
  <c r="AI40" i="15"/>
  <c r="AO40" i="15" s="1"/>
  <c r="AK29" i="15"/>
  <c r="AQ29" i="15" s="1"/>
  <c r="AJ24" i="15"/>
  <c r="AP24" i="15" s="1"/>
  <c r="AJ39" i="15"/>
  <c r="AP39" i="15" s="1"/>
  <c r="AH34" i="15"/>
  <c r="AN34" i="15" s="1"/>
  <c r="AL28" i="15"/>
  <c r="AR28" i="15" s="1"/>
  <c r="AJ23" i="15"/>
  <c r="AP23" i="15" s="1"/>
  <c r="AK40" i="15"/>
  <c r="AQ40" i="15" s="1"/>
  <c r="AM37" i="15"/>
  <c r="AS37" i="15" s="1"/>
  <c r="AI35" i="15"/>
  <c r="AO35" i="15" s="1"/>
  <c r="AK32" i="15"/>
  <c r="AQ32" i="15" s="1"/>
  <c r="AM29" i="15"/>
  <c r="AS29" i="15" s="1"/>
  <c r="AI27" i="15"/>
  <c r="AO27" i="15" s="1"/>
  <c r="AK24" i="15"/>
  <c r="AQ24" i="15" s="1"/>
  <c r="AM32" i="15"/>
  <c r="AS32" i="15" s="1"/>
  <c r="AJ42" i="15"/>
  <c r="AP42" i="15" s="1"/>
  <c r="AJ26" i="15"/>
  <c r="AP26" i="15" s="1"/>
  <c r="AL42" i="15"/>
  <c r="AR42" i="15" s="1"/>
  <c r="AL41" i="15"/>
  <c r="AR41" i="15" s="1"/>
  <c r="AH31" i="15"/>
  <c r="AN31" i="15" s="1"/>
  <c r="AM42" i="15"/>
  <c r="AS42" i="15" s="1"/>
  <c r="AL40" i="15"/>
  <c r="AR40" i="15" s="1"/>
  <c r="AL24" i="15"/>
  <c r="AR24" i="15" s="1"/>
  <c r="AM35" i="15"/>
  <c r="AS35" i="15" s="1"/>
  <c r="AI25" i="15"/>
  <c r="AO25" i="15" s="1"/>
  <c r="AK35" i="15"/>
  <c r="AQ35" i="15" s="1"/>
  <c r="AL34" i="15"/>
  <c r="AR34" i="15" s="1"/>
  <c r="AM40" i="15"/>
  <c r="AS40" i="15" s="1"/>
  <c r="AL39" i="15"/>
  <c r="AR39" i="15" s="1"/>
  <c r="AJ34" i="15"/>
  <c r="AP34" i="15" s="1"/>
  <c r="AH29" i="15"/>
  <c r="AN29" i="15" s="1"/>
  <c r="AH36" i="15"/>
  <c r="AN36" i="15" s="1"/>
  <c r="AM38" i="15"/>
  <c r="AS38" i="15" s="1"/>
  <c r="AI28" i="15"/>
  <c r="AO28" i="15" s="1"/>
  <c r="AH32" i="15"/>
  <c r="AN32" i="15" s="1"/>
  <c r="AM36" i="15"/>
  <c r="AS36" i="15" s="1"/>
  <c r="AI26" i="15"/>
  <c r="AO26" i="15" s="1"/>
  <c r="AH39" i="15"/>
  <c r="AN39" i="15" s="1"/>
  <c r="AL33" i="15"/>
  <c r="AR33" i="15" s="1"/>
  <c r="AJ28" i="15"/>
  <c r="AP28" i="15" s="1"/>
  <c r="AJ33" i="15"/>
  <c r="AP33" i="15" s="1"/>
  <c r="AK37" i="15"/>
  <c r="AQ37" i="15" s="1"/>
  <c r="AM26" i="15"/>
  <c r="AS26" i="15" s="1"/>
  <c r="AH23" i="15"/>
  <c r="AN23" i="15" s="1"/>
  <c r="AH38" i="15"/>
  <c r="AN38" i="15" s="1"/>
  <c r="AL32" i="15"/>
  <c r="AR32" i="15" s="1"/>
  <c r="AJ27" i="15"/>
  <c r="AP27" i="15" s="1"/>
  <c r="AK42" i="15"/>
  <c r="AQ42" i="15" s="1"/>
  <c r="AM39" i="15"/>
  <c r="AS39" i="15" s="1"/>
  <c r="AI37" i="15"/>
  <c r="AO37" i="15" s="1"/>
  <c r="AK34" i="15"/>
  <c r="AQ34" i="15" s="1"/>
  <c r="AM31" i="15"/>
  <c r="AS31" i="15" s="1"/>
  <c r="AI29" i="15"/>
  <c r="AO29" i="15" s="1"/>
  <c r="AK26" i="15"/>
  <c r="AQ26" i="15" s="1"/>
  <c r="AM23" i="15"/>
  <c r="AS23" i="15" s="1"/>
  <c r="AH25" i="15"/>
  <c r="AN25" i="15" s="1"/>
  <c r="AH37" i="15"/>
  <c r="AN37" i="15" s="1"/>
  <c r="AJ25" i="15"/>
  <c r="AP25" i="15" s="1"/>
  <c r="AI42" i="15"/>
  <c r="AO42" i="15" s="1"/>
  <c r="AJ36" i="15"/>
  <c r="AP36" i="15" s="1"/>
  <c r="AI32" i="15"/>
  <c r="AO32" i="15" s="1"/>
  <c r="AJ35" i="15"/>
  <c r="AP35" i="15" s="1"/>
  <c r="AI41" i="15"/>
  <c r="AO41" i="15" s="1"/>
  <c r="AI33" i="15"/>
  <c r="AO33" i="15" s="1"/>
  <c r="AM27" i="15"/>
  <c r="AS27" i="15" s="1"/>
  <c r="AM24" i="15"/>
  <c r="AS24" i="15" s="1"/>
  <c r="AI38" i="15"/>
  <c r="AO38" i="15" s="1"/>
  <c r="AI30" i="15"/>
  <c r="AO30" i="15" s="1"/>
  <c r="AJ38" i="15"/>
  <c r="AP38" i="15" s="1"/>
  <c r="AH33" i="15"/>
  <c r="AN33" i="15" s="1"/>
  <c r="AL27" i="15"/>
  <c r="AR27" i="15" s="1"/>
  <c r="AL30" i="15"/>
  <c r="AR30" i="15" s="1"/>
  <c r="AI36" i="15"/>
  <c r="AO36" i="15" s="1"/>
  <c r="AK25" i="15"/>
  <c r="AQ25" i="15" s="1"/>
  <c r="AL26" i="15"/>
  <c r="AR26" i="15" s="1"/>
  <c r="AI34" i="15"/>
  <c r="AO34" i="15" s="1"/>
  <c r="AK23" i="15"/>
  <c r="AQ23" i="15" s="1"/>
  <c r="AL37" i="15"/>
  <c r="AR37" i="15" s="1"/>
  <c r="AJ32" i="15"/>
  <c r="AP32" i="15" s="1"/>
  <c r="AH27" i="15"/>
  <c r="AN27" i="15" s="1"/>
  <c r="AH28" i="15"/>
  <c r="AN28" i="15" s="1"/>
  <c r="AM34" i="15"/>
  <c r="AS34" i="15" s="1"/>
  <c r="AI24" i="15"/>
  <c r="AO24" i="15" s="1"/>
  <c r="AH42" i="15"/>
  <c r="AN42" i="15" s="1"/>
  <c r="AL36" i="15"/>
  <c r="AR36" i="15" s="1"/>
  <c r="AJ31" i="15"/>
  <c r="AP31" i="15" s="1"/>
  <c r="AH26" i="15"/>
  <c r="AN26" i="15" s="1"/>
  <c r="AM41" i="15"/>
  <c r="AS41" i="15" s="1"/>
  <c r="AI39" i="15"/>
  <c r="AO39" i="15" s="1"/>
  <c r="AK36" i="15"/>
  <c r="AQ36" i="15" s="1"/>
  <c r="AM33" i="15"/>
  <c r="AS33" i="15" s="1"/>
  <c r="AI31" i="15"/>
  <c r="AO31" i="15" s="1"/>
  <c r="AK28" i="15"/>
  <c r="AQ28" i="15" s="1"/>
  <c r="AM25" i="15"/>
  <c r="AS25" i="15" s="1"/>
  <c r="AD35" i="12"/>
  <c r="AF26" i="12"/>
  <c r="AA38" i="12"/>
  <c r="AF38" i="12"/>
  <c r="AB31" i="12"/>
  <c r="AA39" i="12"/>
  <c r="AF30" i="12"/>
  <c r="AA34" i="12"/>
  <c r="AD29" i="12"/>
  <c r="AF23" i="12"/>
  <c r="AA36" i="12"/>
  <c r="AB37" i="12"/>
  <c r="C20" i="14"/>
  <c r="E20" i="14" s="1"/>
  <c r="F20" i="14"/>
  <c r="G20" i="4"/>
  <c r="M20" i="4" s="1"/>
  <c r="O20" i="4" s="1"/>
  <c r="AE25" i="12"/>
  <c r="AC38" i="12"/>
  <c r="AD26" i="12"/>
  <c r="AC39" i="12"/>
  <c r="AF37" i="12"/>
  <c r="AF28" i="12"/>
  <c r="AD37" i="12"/>
  <c r="AE36" i="12"/>
  <c r="AF27" i="12"/>
  <c r="AA23" i="12"/>
  <c r="AB28" i="12"/>
  <c r="AC29" i="12"/>
  <c r="AD24" i="12"/>
  <c r="AE35" i="12"/>
  <c r="AF36" i="12"/>
  <c r="AF32" i="12"/>
  <c r="AE28" i="12"/>
  <c r="AD23" i="12"/>
  <c r="AD38" i="12"/>
  <c r="AC32" i="12"/>
  <c r="AF24" i="12"/>
  <c r="AB29" i="12"/>
  <c r="AA28" i="12"/>
  <c r="AE38" i="12"/>
  <c r="AB40" i="12"/>
  <c r="AE23" i="12"/>
  <c r="AC34" i="12"/>
  <c r="E51" i="15" a="1"/>
  <c r="AF29" i="12"/>
  <c r="AA31" i="12"/>
  <c r="AE26" i="12"/>
  <c r="AA30" i="12"/>
  <c r="AA24" i="12"/>
  <c r="AB38" i="12"/>
  <c r="AB33" i="12"/>
  <c r="AE29" i="12"/>
  <c r="AC25" i="12"/>
  <c r="AE31" i="12"/>
  <c r="G51" i="15" a="1"/>
  <c r="D20" i="14"/>
  <c r="B21" i="4"/>
  <c r="I21" i="4"/>
  <c r="A22" i="4"/>
  <c r="G21" i="4"/>
  <c r="G19" i="14"/>
  <c r="AD33" i="12"/>
  <c r="AF33" i="12"/>
  <c r="AC37" i="12"/>
  <c r="AC31" i="12"/>
  <c r="AB24" i="12"/>
  <c r="AF35" i="12"/>
  <c r="AA33" i="12"/>
  <c r="AF34" i="12"/>
  <c r="AD25" i="12"/>
  <c r="AC28" i="12"/>
  <c r="AD39" i="12"/>
  <c r="AE34" i="12"/>
  <c r="AD34" i="12"/>
  <c r="AE40" i="12"/>
  <c r="AD36" i="12"/>
  <c r="AD31" i="12"/>
  <c r="AC27" i="12"/>
  <c r="AB23" i="12"/>
  <c r="AC24" i="12"/>
  <c r="AA35" i="12"/>
  <c r="AB30" i="12"/>
  <c r="AB35" i="12"/>
  <c r="AE30" i="12"/>
  <c r="AB26" i="12"/>
  <c r="AB27" i="12"/>
  <c r="AC26" i="12"/>
  <c r="AA37" i="12"/>
  <c r="N19" i="4"/>
  <c r="P19" i="4" s="1"/>
  <c r="D10" i="5"/>
  <c r="C51" i="15" a="1"/>
  <c r="F52" i="15" a="1"/>
  <c r="D52" i="15" a="1"/>
  <c r="D52" i="15" s="1"/>
  <c r="G52" i="15" a="1"/>
  <c r="E52" i="15" a="1"/>
  <c r="C52" i="15" a="1"/>
  <c r="L20" i="4"/>
  <c r="H20" i="4"/>
  <c r="J20" i="4"/>
  <c r="AC36" i="12"/>
  <c r="AC30" i="12"/>
  <c r="AB25" i="12"/>
  <c r="AC40" i="12"/>
  <c r="AB34" i="12"/>
  <c r="A22" i="14"/>
  <c r="B21" i="14"/>
  <c r="D21" i="14"/>
  <c r="I20" i="4"/>
  <c r="B11" i="5" a="1"/>
  <c r="B11" i="5" s="1"/>
  <c r="C10" i="5"/>
  <c r="AA32" i="12"/>
  <c r="AE24" i="12"/>
  <c r="AF39" i="12"/>
  <c r="AF25" i="12"/>
  <c r="AE27" i="12"/>
  <c r="AB32" i="12"/>
  <c r="AF40" i="12"/>
  <c r="AE32" i="12"/>
  <c r="AC23" i="12"/>
  <c r="AE33" i="12"/>
  <c r="AD32" i="12"/>
  <c r="AA40" i="12"/>
  <c r="AA25" i="12"/>
  <c r="AB39" i="12"/>
  <c r="AC35" i="12"/>
  <c r="AD30" i="12"/>
  <c r="AA26" i="12"/>
  <c r="AD28" i="12"/>
  <c r="AA27" i="12"/>
  <c r="AE37" i="12"/>
  <c r="AB36" i="12"/>
  <c r="AD40" i="12"/>
  <c r="AC33" i="12"/>
  <c r="AD27" i="12"/>
  <c r="AF31" i="12"/>
  <c r="AA29" i="12"/>
  <c r="AE39" i="12"/>
  <c r="AG24" i="9" a="1"/>
  <c r="F51" i="15" a="1"/>
  <c r="D51" i="15" a="1"/>
  <c r="D51" i="15" l="1"/>
  <c r="C52" i="15"/>
  <c r="F52" i="15"/>
  <c r="E51" i="15"/>
  <c r="F51" i="15"/>
  <c r="E52" i="15"/>
  <c r="C51" i="15"/>
  <c r="G51" i="15"/>
  <c r="G22" i="15" s="1"/>
  <c r="G52" i="15"/>
  <c r="A23" i="14"/>
  <c r="B22" i="14"/>
  <c r="B22" i="4"/>
  <c r="K22" i="4"/>
  <c r="A23" i="4"/>
  <c r="G22" i="4"/>
  <c r="AJ24" i="9"/>
  <c r="AP24" i="9" s="1"/>
  <c r="AH25" i="9"/>
  <c r="AN25" i="9" s="1"/>
  <c r="AL25" i="9"/>
  <c r="AR25" i="9" s="1"/>
  <c r="AJ26" i="9"/>
  <c r="AP26" i="9" s="1"/>
  <c r="AH27" i="9"/>
  <c r="AN27" i="9" s="1"/>
  <c r="AL27" i="9"/>
  <c r="AR27" i="9" s="1"/>
  <c r="AJ28" i="9"/>
  <c r="AP28" i="9" s="1"/>
  <c r="AH29" i="9"/>
  <c r="AN29" i="9" s="1"/>
  <c r="AL29" i="9"/>
  <c r="AR29" i="9" s="1"/>
  <c r="AJ30" i="9"/>
  <c r="AP30" i="9" s="1"/>
  <c r="AH31" i="9"/>
  <c r="AN31" i="9" s="1"/>
  <c r="AL31" i="9"/>
  <c r="AR31" i="9" s="1"/>
  <c r="AJ32" i="9"/>
  <c r="AP32" i="9" s="1"/>
  <c r="AH33" i="9"/>
  <c r="AN33" i="9" s="1"/>
  <c r="AL33" i="9"/>
  <c r="AR33" i="9" s="1"/>
  <c r="AJ34" i="9"/>
  <c r="AP34" i="9" s="1"/>
  <c r="AH35" i="9"/>
  <c r="AN35" i="9" s="1"/>
  <c r="AL35" i="9"/>
  <c r="AR35" i="9" s="1"/>
  <c r="AJ36" i="9"/>
  <c r="AP36" i="9" s="1"/>
  <c r="AH37" i="9"/>
  <c r="AN37" i="9" s="1"/>
  <c r="AL37" i="9"/>
  <c r="AR37" i="9" s="1"/>
  <c r="AJ38" i="9"/>
  <c r="AP38" i="9" s="1"/>
  <c r="AH39" i="9"/>
  <c r="AN39" i="9" s="1"/>
  <c r="AL39" i="9"/>
  <c r="AR39" i="9" s="1"/>
  <c r="AJ40" i="9"/>
  <c r="AP40" i="9" s="1"/>
  <c r="AH41" i="9"/>
  <c r="AN41" i="9" s="1"/>
  <c r="AL41" i="9"/>
  <c r="AR41" i="9" s="1"/>
  <c r="AK24" i="9"/>
  <c r="AQ24" i="9" s="1"/>
  <c r="AG26" i="9"/>
  <c r="AM26" i="9" s="1"/>
  <c r="AI27" i="9"/>
  <c r="AO27" i="9" s="1"/>
  <c r="AK28" i="9"/>
  <c r="AQ28" i="9" s="1"/>
  <c r="AG30" i="9"/>
  <c r="AM30" i="9" s="1"/>
  <c r="AI31" i="9"/>
  <c r="AO31" i="9" s="1"/>
  <c r="AK32" i="9"/>
  <c r="AQ32" i="9" s="1"/>
  <c r="AG34" i="9"/>
  <c r="AM34" i="9" s="1"/>
  <c r="AI35" i="9"/>
  <c r="AO35" i="9" s="1"/>
  <c r="AK36" i="9"/>
  <c r="AQ36" i="9" s="1"/>
  <c r="AG38" i="9"/>
  <c r="AM38" i="9" s="1"/>
  <c r="AI39" i="9"/>
  <c r="AO39" i="9" s="1"/>
  <c r="AK40" i="9"/>
  <c r="AQ40" i="9" s="1"/>
  <c r="AI24" i="9"/>
  <c r="AO24" i="9" s="1"/>
  <c r="AK25" i="9"/>
  <c r="AQ25" i="9" s="1"/>
  <c r="AG27" i="9"/>
  <c r="AM27" i="9" s="1"/>
  <c r="AI28" i="9"/>
  <c r="AO28" i="9" s="1"/>
  <c r="AK29" i="9"/>
  <c r="AQ29" i="9" s="1"/>
  <c r="AG31" i="9"/>
  <c r="AM31" i="9" s="1"/>
  <c r="AI32" i="9"/>
  <c r="AO32" i="9" s="1"/>
  <c r="AK33" i="9"/>
  <c r="AQ33" i="9" s="1"/>
  <c r="AG35" i="9"/>
  <c r="AM35" i="9" s="1"/>
  <c r="AI36" i="9"/>
  <c r="AO36" i="9" s="1"/>
  <c r="AK37" i="9"/>
  <c r="AQ37" i="9" s="1"/>
  <c r="AG39" i="9"/>
  <c r="AM39" i="9" s="1"/>
  <c r="AI40" i="9"/>
  <c r="AO40" i="9" s="1"/>
  <c r="AK41" i="9"/>
  <c r="AQ41" i="9" s="1"/>
  <c r="AL24" i="9"/>
  <c r="AR24" i="9" s="1"/>
  <c r="AL26" i="9"/>
  <c r="AR26" i="9" s="1"/>
  <c r="AJ29" i="9"/>
  <c r="AP29" i="9" s="1"/>
  <c r="AH32" i="9"/>
  <c r="AN32" i="9" s="1"/>
  <c r="AL34" i="9"/>
  <c r="AR34" i="9" s="1"/>
  <c r="AJ37" i="9"/>
  <c r="AP37" i="9" s="1"/>
  <c r="AH40" i="9"/>
  <c r="AN40" i="9" s="1"/>
  <c r="AI25" i="9"/>
  <c r="AO25" i="9" s="1"/>
  <c r="AK30" i="9"/>
  <c r="AQ30" i="9" s="1"/>
  <c r="AG36" i="9"/>
  <c r="AM36" i="9" s="1"/>
  <c r="AI41" i="9"/>
  <c r="AO41" i="9" s="1"/>
  <c r="AG29" i="9"/>
  <c r="AM29" i="9" s="1"/>
  <c r="AI34" i="9"/>
  <c r="AO34" i="9" s="1"/>
  <c r="AK39" i="9"/>
  <c r="AQ39" i="9" s="1"/>
  <c r="AH26" i="9"/>
  <c r="AN26" i="9" s="1"/>
  <c r="AL28" i="9"/>
  <c r="AR28" i="9" s="1"/>
  <c r="AJ31" i="9"/>
  <c r="AP31" i="9" s="1"/>
  <c r="AH34" i="9"/>
  <c r="AN34" i="9" s="1"/>
  <c r="AL36" i="9"/>
  <c r="AR36" i="9" s="1"/>
  <c r="AJ39" i="9"/>
  <c r="AP39" i="9" s="1"/>
  <c r="AG24" i="9"/>
  <c r="AM24" i="9" s="1"/>
  <c r="AI29" i="9"/>
  <c r="AO29" i="9" s="1"/>
  <c r="AK34" i="9"/>
  <c r="AQ34" i="9" s="1"/>
  <c r="AG40" i="9"/>
  <c r="AM40" i="9" s="1"/>
  <c r="AK27" i="9"/>
  <c r="AQ27" i="9" s="1"/>
  <c r="AG33" i="9"/>
  <c r="AM33" i="9" s="1"/>
  <c r="AI38" i="9"/>
  <c r="AO38" i="9" s="1"/>
  <c r="AH24" i="9"/>
  <c r="AN24" i="9" s="1"/>
  <c r="AJ25" i="9"/>
  <c r="AP25" i="9" s="1"/>
  <c r="AH28" i="9"/>
  <c r="AN28" i="9" s="1"/>
  <c r="AL30" i="9"/>
  <c r="AR30" i="9" s="1"/>
  <c r="AJ33" i="9"/>
  <c r="AP33" i="9" s="1"/>
  <c r="AH36" i="9"/>
  <c r="AN36" i="9" s="1"/>
  <c r="AL38" i="9"/>
  <c r="AR38" i="9" s="1"/>
  <c r="AJ41" i="9"/>
  <c r="AP41" i="9" s="1"/>
  <c r="AG28" i="9"/>
  <c r="AM28" i="9" s="1"/>
  <c r="AI33" i="9"/>
  <c r="AO33" i="9" s="1"/>
  <c r="AK38" i="9"/>
  <c r="AQ38" i="9" s="1"/>
  <c r="AI26" i="9"/>
  <c r="AO26" i="9" s="1"/>
  <c r="AK31" i="9"/>
  <c r="AQ31" i="9" s="1"/>
  <c r="AG37" i="9"/>
  <c r="AM37" i="9" s="1"/>
  <c r="AH30" i="9"/>
  <c r="AN30" i="9" s="1"/>
  <c r="AL40" i="9"/>
  <c r="AR40" i="9" s="1"/>
  <c r="AG25" i="9"/>
  <c r="AM25" i="9" s="1"/>
  <c r="AJ27" i="9"/>
  <c r="AP27" i="9" s="1"/>
  <c r="AH38" i="9"/>
  <c r="AN38" i="9" s="1"/>
  <c r="AI37" i="9"/>
  <c r="AO37" i="9" s="1"/>
  <c r="AG41" i="9"/>
  <c r="AM41" i="9" s="1"/>
  <c r="AJ35" i="9"/>
  <c r="AP35" i="9" s="1"/>
  <c r="AG32" i="9"/>
  <c r="AM32" i="9" s="1"/>
  <c r="AK35" i="9"/>
  <c r="AQ35" i="9" s="1"/>
  <c r="AL32" i="9"/>
  <c r="AR32" i="9" s="1"/>
  <c r="AK26" i="9"/>
  <c r="AQ26" i="9" s="1"/>
  <c r="AI30" i="9"/>
  <c r="AO30" i="9" s="1"/>
  <c r="E10" i="5"/>
  <c r="F10" i="5"/>
  <c r="C21" i="14"/>
  <c r="E21" i="14" s="1"/>
  <c r="F21" i="14"/>
  <c r="N20" i="4"/>
  <c r="P20" i="4" s="1"/>
  <c r="D22" i="15"/>
  <c r="L21" i="4"/>
  <c r="J21" i="4"/>
  <c r="H21" i="4"/>
  <c r="G20" i="14"/>
  <c r="AG23" i="12" a="1"/>
  <c r="B10" i="5"/>
  <c r="C22" i="15"/>
  <c r="F22" i="15"/>
  <c r="K21" i="4"/>
  <c r="M21" i="4" s="1"/>
  <c r="O21" i="4" s="1"/>
  <c r="E22" i="15" l="1"/>
  <c r="AJ23" i="12"/>
  <c r="AP23" i="12" s="1"/>
  <c r="AH24" i="12"/>
  <c r="AN24" i="12" s="1"/>
  <c r="AH23" i="12"/>
  <c r="AN23" i="12" s="1"/>
  <c r="AL23" i="12"/>
  <c r="AR23" i="12" s="1"/>
  <c r="AJ24" i="12"/>
  <c r="AP24" i="12" s="1"/>
  <c r="AH25" i="12"/>
  <c r="AN25" i="12" s="1"/>
  <c r="AL25" i="12"/>
  <c r="AR25" i="12" s="1"/>
  <c r="AJ26" i="12"/>
  <c r="AP26" i="12" s="1"/>
  <c r="AH27" i="12"/>
  <c r="AN27" i="12" s="1"/>
  <c r="AL27" i="12"/>
  <c r="AR27" i="12" s="1"/>
  <c r="AJ28" i="12"/>
  <c r="AP28" i="12" s="1"/>
  <c r="AH29" i="12"/>
  <c r="AN29" i="12" s="1"/>
  <c r="AL29" i="12"/>
  <c r="AR29" i="12" s="1"/>
  <c r="AJ30" i="12"/>
  <c r="AP30" i="12" s="1"/>
  <c r="AH31" i="12"/>
  <c r="AN31" i="12" s="1"/>
  <c r="AL31" i="12"/>
  <c r="AR31" i="12" s="1"/>
  <c r="AJ32" i="12"/>
  <c r="AP32" i="12" s="1"/>
  <c r="AH33" i="12"/>
  <c r="AN33" i="12" s="1"/>
  <c r="AL33" i="12"/>
  <c r="AR33" i="12" s="1"/>
  <c r="AJ34" i="12"/>
  <c r="AP34" i="12" s="1"/>
  <c r="AH35" i="12"/>
  <c r="AN35" i="12" s="1"/>
  <c r="AL35" i="12"/>
  <c r="AR35" i="12" s="1"/>
  <c r="AJ36" i="12"/>
  <c r="AP36" i="12" s="1"/>
  <c r="AH37" i="12"/>
  <c r="AN37" i="12" s="1"/>
  <c r="AL37" i="12"/>
  <c r="AR37" i="12" s="1"/>
  <c r="AJ38" i="12"/>
  <c r="AP38" i="12" s="1"/>
  <c r="AH39" i="12"/>
  <c r="AN39" i="12" s="1"/>
  <c r="AL39" i="12"/>
  <c r="AR39" i="12" s="1"/>
  <c r="AJ40" i="12"/>
  <c r="AP40" i="12" s="1"/>
  <c r="AG23" i="12"/>
  <c r="AM23" i="12" s="1"/>
  <c r="AI24" i="12"/>
  <c r="AO24" i="12" s="1"/>
  <c r="AK25" i="12"/>
  <c r="AQ25" i="12" s="1"/>
  <c r="AG27" i="12"/>
  <c r="AM27" i="12" s="1"/>
  <c r="AI28" i="12"/>
  <c r="AO28" i="12" s="1"/>
  <c r="AK29" i="12"/>
  <c r="AQ29" i="12" s="1"/>
  <c r="AG31" i="12"/>
  <c r="AM31" i="12" s="1"/>
  <c r="AI32" i="12"/>
  <c r="AO32" i="12" s="1"/>
  <c r="AK33" i="12"/>
  <c r="AQ33" i="12" s="1"/>
  <c r="AG35" i="12"/>
  <c r="AM35" i="12" s="1"/>
  <c r="AI36" i="12"/>
  <c r="AO36" i="12" s="1"/>
  <c r="AK37" i="12"/>
  <c r="AQ37" i="12" s="1"/>
  <c r="AG39" i="12"/>
  <c r="AM39" i="12" s="1"/>
  <c r="AI40" i="12"/>
  <c r="AO40" i="12" s="1"/>
  <c r="AG24" i="12"/>
  <c r="AM24" i="12" s="1"/>
  <c r="AI25" i="12"/>
  <c r="AO25" i="12" s="1"/>
  <c r="AK26" i="12"/>
  <c r="AQ26" i="12" s="1"/>
  <c r="AG28" i="12"/>
  <c r="AM28" i="12" s="1"/>
  <c r="AI29" i="12"/>
  <c r="AO29" i="12" s="1"/>
  <c r="AK30" i="12"/>
  <c r="AQ30" i="12" s="1"/>
  <c r="AK32" i="12"/>
  <c r="AQ32" i="12" s="1"/>
  <c r="AG34" i="12"/>
  <c r="AM34" i="12" s="1"/>
  <c r="AI35" i="12"/>
  <c r="AO35" i="12" s="1"/>
  <c r="AK36" i="12"/>
  <c r="AQ36" i="12" s="1"/>
  <c r="AG38" i="12"/>
  <c r="AM38" i="12" s="1"/>
  <c r="AI39" i="12"/>
  <c r="AO39" i="12" s="1"/>
  <c r="AI31" i="12"/>
  <c r="AO31" i="12" s="1"/>
  <c r="AL24" i="12"/>
  <c r="AR24" i="12" s="1"/>
  <c r="AH26" i="12"/>
  <c r="AN26" i="12" s="1"/>
  <c r="AJ27" i="12"/>
  <c r="AP27" i="12" s="1"/>
  <c r="AL28" i="12"/>
  <c r="AR28" i="12" s="1"/>
  <c r="AH30" i="12"/>
  <c r="AN30" i="12" s="1"/>
  <c r="AJ31" i="12"/>
  <c r="AP31" i="12" s="1"/>
  <c r="AL32" i="12"/>
  <c r="AR32" i="12" s="1"/>
  <c r="AH34" i="12"/>
  <c r="AN34" i="12" s="1"/>
  <c r="AJ35" i="12"/>
  <c r="AP35" i="12" s="1"/>
  <c r="AL36" i="12"/>
  <c r="AR36" i="12" s="1"/>
  <c r="AH38" i="12"/>
  <c r="AN38" i="12" s="1"/>
  <c r="AJ39" i="12"/>
  <c r="AP39" i="12" s="1"/>
  <c r="AL40" i="12"/>
  <c r="AR40" i="12" s="1"/>
  <c r="AG25" i="12"/>
  <c r="AM25" i="12" s="1"/>
  <c r="AK27" i="12"/>
  <c r="AQ27" i="12" s="1"/>
  <c r="AI30" i="12"/>
  <c r="AO30" i="12" s="1"/>
  <c r="AG33" i="12"/>
  <c r="AM33" i="12" s="1"/>
  <c r="AK35" i="12"/>
  <c r="AQ35" i="12" s="1"/>
  <c r="AI38" i="12"/>
  <c r="AO38" i="12" s="1"/>
  <c r="AI23" i="12"/>
  <c r="AO23" i="12" s="1"/>
  <c r="AG26" i="12"/>
  <c r="AM26" i="12" s="1"/>
  <c r="AK28" i="12"/>
  <c r="AQ28" i="12" s="1"/>
  <c r="AG32" i="12"/>
  <c r="AM32" i="12" s="1"/>
  <c r="AK34" i="12"/>
  <c r="AQ34" i="12" s="1"/>
  <c r="AI37" i="12"/>
  <c r="AO37" i="12" s="1"/>
  <c r="AG40" i="12"/>
  <c r="AM40" i="12" s="1"/>
  <c r="AL26" i="12"/>
  <c r="AR26" i="12" s="1"/>
  <c r="AJ29" i="12"/>
  <c r="AP29" i="12" s="1"/>
  <c r="AH32" i="12"/>
  <c r="AN32" i="12" s="1"/>
  <c r="AL34" i="12"/>
  <c r="AR34" i="12" s="1"/>
  <c r="AJ37" i="12"/>
  <c r="AP37" i="12" s="1"/>
  <c r="AH40" i="12"/>
  <c r="AN40" i="12" s="1"/>
  <c r="AI26" i="12"/>
  <c r="AO26" i="12" s="1"/>
  <c r="AK31" i="12"/>
  <c r="AQ31" i="12" s="1"/>
  <c r="AG37" i="12"/>
  <c r="AM37" i="12" s="1"/>
  <c r="AK24" i="12"/>
  <c r="AQ24" i="12" s="1"/>
  <c r="AG30" i="12"/>
  <c r="AM30" i="12" s="1"/>
  <c r="AG36" i="12"/>
  <c r="AM36" i="12" s="1"/>
  <c r="AK40" i="12"/>
  <c r="AQ40" i="12" s="1"/>
  <c r="AJ25" i="12"/>
  <c r="AP25" i="12" s="1"/>
  <c r="AH28" i="12"/>
  <c r="AN28" i="12" s="1"/>
  <c r="AL30" i="12"/>
  <c r="AR30" i="12" s="1"/>
  <c r="AJ33" i="12"/>
  <c r="AP33" i="12" s="1"/>
  <c r="AH36" i="12"/>
  <c r="AN36" i="12" s="1"/>
  <c r="AL38" i="12"/>
  <c r="AR38" i="12" s="1"/>
  <c r="AK23" i="12"/>
  <c r="AQ23" i="12" s="1"/>
  <c r="AG29" i="12"/>
  <c r="AM29" i="12" s="1"/>
  <c r="AI34" i="12"/>
  <c r="AO34" i="12" s="1"/>
  <c r="AK39" i="12"/>
  <c r="AQ39" i="12" s="1"/>
  <c r="AI27" i="12"/>
  <c r="AO27" i="12" s="1"/>
  <c r="AI33" i="12"/>
  <c r="AO33" i="12" s="1"/>
  <c r="AK38" i="12"/>
  <c r="AQ38" i="12" s="1"/>
  <c r="F50" i="9" a="1"/>
  <c r="F50" i="9" s="1"/>
  <c r="N21" i="4"/>
  <c r="P21" i="4" s="1"/>
  <c r="G21" i="14"/>
  <c r="B50" i="9" a="1"/>
  <c r="B50" i="9" s="1"/>
  <c r="E51" i="9" a="1"/>
  <c r="E51" i="9" s="1"/>
  <c r="C51" i="9" a="1"/>
  <c r="C51" i="9" s="1"/>
  <c r="D51" i="9" a="1"/>
  <c r="D51" i="9" s="1"/>
  <c r="B51" i="9" a="1"/>
  <c r="B51" i="9" s="1"/>
  <c r="B23" i="9" s="1"/>
  <c r="F51" i="9" a="1"/>
  <c r="F51" i="9" s="1"/>
  <c r="J22" i="4"/>
  <c r="L22" i="4"/>
  <c r="H22" i="4"/>
  <c r="B23" i="14"/>
  <c r="A24" i="14"/>
  <c r="D50" i="9" a="1"/>
  <c r="D50" i="9" s="1"/>
  <c r="E50" i="9" a="1"/>
  <c r="E50" i="9" s="1"/>
  <c r="A24" i="4"/>
  <c r="B23" i="4"/>
  <c r="I23" i="4" s="1"/>
  <c r="C22" i="14"/>
  <c r="E22" i="14" s="1"/>
  <c r="C9" i="15" a="1"/>
  <c r="C9" i="15" s="1"/>
  <c r="E17" i="15" s="1"/>
  <c r="BB35" i="15"/>
  <c r="BB31" i="15"/>
  <c r="BB27" i="15"/>
  <c r="BB23" i="15"/>
  <c r="BB19" i="15"/>
  <c r="BB32" i="15"/>
  <c r="BB34" i="15"/>
  <c r="BB30" i="15"/>
  <c r="BB26" i="15"/>
  <c r="BB22" i="15"/>
  <c r="BB18" i="15"/>
  <c r="BB29" i="15"/>
  <c r="BB21" i="15"/>
  <c r="BB24" i="15"/>
  <c r="BB16" i="15"/>
  <c r="BB33" i="15"/>
  <c r="BB25" i="15"/>
  <c r="BB17" i="15"/>
  <c r="BB36" i="15"/>
  <c r="BB28" i="15"/>
  <c r="BB20" i="15"/>
  <c r="C50" i="9" a="1"/>
  <c r="C50" i="9" s="1"/>
  <c r="I22" i="4"/>
  <c r="M22" i="4" s="1"/>
  <c r="O22" i="4" s="1"/>
  <c r="D22" i="14"/>
  <c r="F22" i="14" s="1"/>
  <c r="F23" i="9" l="1"/>
  <c r="C23" i="9"/>
  <c r="D17" i="15"/>
  <c r="C17" i="15"/>
  <c r="C23" i="14"/>
  <c r="E23" i="14" s="1"/>
  <c r="D49" i="12" a="1"/>
  <c r="D49" i="12" s="1"/>
  <c r="G22" i="14"/>
  <c r="D23" i="14"/>
  <c r="F23" i="14" s="1"/>
  <c r="E23" i="9"/>
  <c r="F17" i="15"/>
  <c r="C49" i="12" a="1"/>
  <c r="C49" i="12" s="1"/>
  <c r="L23" i="4"/>
  <c r="H23" i="4"/>
  <c r="J23" i="4"/>
  <c r="G23" i="4"/>
  <c r="B24" i="4"/>
  <c r="A25" i="4"/>
  <c r="I24" i="4"/>
  <c r="G24" i="4"/>
  <c r="B10" i="9" a="1"/>
  <c r="G17" i="15"/>
  <c r="F49" i="12" a="1"/>
  <c r="F49" i="12" s="1"/>
  <c r="B49" i="12" a="1"/>
  <c r="B49" i="12" s="1"/>
  <c r="D50" i="12" a="1"/>
  <c r="D50" i="12" s="1"/>
  <c r="F50" i="12" a="1"/>
  <c r="F50" i="12" s="1"/>
  <c r="F22" i="12" s="1"/>
  <c r="E50" i="12" a="1"/>
  <c r="E50" i="12" s="1"/>
  <c r="C50" i="12" a="1"/>
  <c r="C50" i="12" s="1"/>
  <c r="C22" i="12" s="1"/>
  <c r="B50" i="12" a="1"/>
  <c r="B50" i="12" s="1"/>
  <c r="K23" i="4"/>
  <c r="B24" i="14"/>
  <c r="A25" i="14"/>
  <c r="D24" i="14"/>
  <c r="N22" i="4"/>
  <c r="P22" i="4" s="1"/>
  <c r="D23" i="9"/>
  <c r="E49" i="12" a="1"/>
  <c r="E49" i="12" s="1"/>
  <c r="E22" i="12" l="1"/>
  <c r="B10" i="9"/>
  <c r="D18" i="9" s="1"/>
  <c r="D17" i="12" s="1"/>
  <c r="C24" i="14"/>
  <c r="E24" i="14" s="1"/>
  <c r="F24" i="14"/>
  <c r="B25" i="4"/>
  <c r="K25" i="4" s="1"/>
  <c r="A26" i="4"/>
  <c r="M23" i="4"/>
  <c r="O23" i="4" s="1"/>
  <c r="H24" i="4"/>
  <c r="J24" i="4"/>
  <c r="L24" i="4"/>
  <c r="N23" i="4"/>
  <c r="P23" i="4" s="1"/>
  <c r="G23" i="14"/>
  <c r="A26" i="14"/>
  <c r="B25" i="14"/>
  <c r="B22" i="12"/>
  <c r="D22" i="12"/>
  <c r="K24" i="4"/>
  <c r="M24" i="4" s="1"/>
  <c r="O24" i="4" s="1"/>
  <c r="E18" i="9" l="1"/>
  <c r="E17" i="12" s="1"/>
  <c r="F18" i="9"/>
  <c r="F17" i="12" s="1"/>
  <c r="C18" i="9"/>
  <c r="C17" i="12" s="1"/>
  <c r="B18" i="9"/>
  <c r="B17" i="12" s="1"/>
  <c r="C25" i="14"/>
  <c r="E25" i="14" s="1"/>
  <c r="F25" i="14"/>
  <c r="G25" i="4"/>
  <c r="M25" i="4" s="1"/>
  <c r="O25" i="4" s="1"/>
  <c r="N24" i="4"/>
  <c r="P24" i="4" s="1"/>
  <c r="J25" i="4"/>
  <c r="H25" i="4"/>
  <c r="L25" i="4"/>
  <c r="B26" i="14"/>
  <c r="D26" i="14"/>
  <c r="A27" i="14"/>
  <c r="I25" i="4"/>
  <c r="B9" i="12" a="1"/>
  <c r="B9" i="12" s="1"/>
  <c r="D25" i="14"/>
  <c r="A27" i="4"/>
  <c r="I26" i="4"/>
  <c r="B26" i="4"/>
  <c r="G24" i="14"/>
  <c r="L26" i="4" l="1"/>
  <c r="H26" i="4"/>
  <c r="J26" i="4"/>
  <c r="N25" i="4"/>
  <c r="P25" i="4" s="1"/>
  <c r="G26" i="4"/>
  <c r="G25" i="14"/>
  <c r="K26" i="4"/>
  <c r="M26" i="4" s="1"/>
  <c r="O26" i="4" s="1"/>
  <c r="B27" i="4"/>
  <c r="I27" i="4" s="1"/>
  <c r="A28" i="4"/>
  <c r="B27" i="14"/>
  <c r="A28" i="14"/>
  <c r="D27" i="14"/>
  <c r="F26" i="14"/>
  <c r="C26" i="14"/>
  <c r="E26" i="14" s="1"/>
  <c r="G26" i="14" s="1"/>
  <c r="B28" i="4" l="1"/>
  <c r="G28" i="4"/>
  <c r="K28" i="4"/>
  <c r="A29" i="4"/>
  <c r="I28" i="4"/>
  <c r="A29" i="14"/>
  <c r="B28" i="14"/>
  <c r="D28" i="14"/>
  <c r="G27" i="4"/>
  <c r="H27" i="4"/>
  <c r="L27" i="4"/>
  <c r="J27" i="4"/>
  <c r="F27" i="14"/>
  <c r="C27" i="14"/>
  <c r="E27" i="14" s="1"/>
  <c r="G27" i="14" s="1"/>
  <c r="K27" i="4"/>
  <c r="N26" i="4"/>
  <c r="P26" i="4" s="1"/>
  <c r="B29" i="14" l="1"/>
  <c r="A30" i="14"/>
  <c r="D29" i="14"/>
  <c r="A30" i="4"/>
  <c r="B29" i="4"/>
  <c r="M27" i="4"/>
  <c r="O27" i="4" s="1"/>
  <c r="N27" i="4"/>
  <c r="P27" i="4" s="1"/>
  <c r="C28" i="14"/>
  <c r="E28" i="14" s="1"/>
  <c r="F28" i="14"/>
  <c r="L28" i="4"/>
  <c r="N28" i="4" s="1"/>
  <c r="P28" i="4" s="1"/>
  <c r="J28" i="4"/>
  <c r="H28" i="4"/>
  <c r="L29" i="4" l="1"/>
  <c r="J29" i="4"/>
  <c r="H29" i="4"/>
  <c r="B30" i="4"/>
  <c r="G28" i="14"/>
  <c r="K29" i="4"/>
  <c r="I29" i="4"/>
  <c r="B30" i="14"/>
  <c r="D30" i="14" s="1"/>
  <c r="M28" i="4"/>
  <c r="O28" i="4" s="1"/>
  <c r="G29" i="4"/>
  <c r="F29" i="14"/>
  <c r="C29" i="14"/>
  <c r="E29" i="14" s="1"/>
  <c r="L30" i="4" l="1"/>
  <c r="H30" i="4"/>
  <c r="J30" i="4"/>
  <c r="G30" i="4"/>
  <c r="F30" i="14"/>
  <c r="C30" i="14"/>
  <c r="E30" i="14" s="1"/>
  <c r="I30" i="4"/>
  <c r="G29" i="14"/>
  <c r="M29" i="4"/>
  <c r="O29" i="4" s="1"/>
  <c r="K30" i="4"/>
  <c r="N29" i="4"/>
  <c r="P29" i="4" s="1"/>
  <c r="M30" i="4" l="1"/>
  <c r="O30" i="4" s="1"/>
  <c r="N30" i="4"/>
  <c r="P30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P31" authorId="0" shapeId="0" xr:uid="{00000000-0006-0000-0200-000001000000}">
      <text>
        <r>
          <rPr>
            <sz val="8"/>
            <color indexed="81"/>
            <rFont val="Tahoma"/>
            <family val="2"/>
          </rPr>
          <t>Bubble temperatures can be found across the composition range using Solver by setting this to zero and adjusting B30:O30</t>
        </r>
      </text>
    </comment>
    <comment ref="J47" authorId="0" shapeId="0" xr:uid="{00000000-0006-0000-0200-000002000000}">
      <text>
        <r>
          <rPr>
            <sz val="8"/>
            <color indexed="81"/>
            <rFont val="Tahoma"/>
            <family val="2"/>
          </rPr>
          <t>First, set this to 331.3 (close to azeotrope T and composition), then adjust kij until cell J48 = 0.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8" authorId="0" shapeId="0" xr:uid="{00000000-0006-0000-0200-000003000000}">
      <text>
        <r>
          <rPr>
            <sz val="8"/>
            <color indexed="81"/>
            <rFont val="Tahoma"/>
            <family val="2"/>
          </rPr>
          <t>Then, use Solver to adjust B47:O47 to calc bubble T's.</t>
        </r>
      </text>
    </comment>
    <comment ref="H54" authorId="0" shapeId="0" xr:uid="{00000000-0006-0000-0200-000004000000}">
      <text>
        <r>
          <rPr>
            <sz val="8"/>
            <color indexed="81"/>
            <rFont val="Tahoma"/>
            <family val="2"/>
          </rPr>
          <t>These values are calculated from the activitiy coefficient and composition values at the azeotrope.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64" authorId="0" shapeId="0" xr:uid="{00000000-0006-0000-0200-000005000000}">
      <text>
        <r>
          <rPr>
            <sz val="8"/>
            <color indexed="81"/>
            <rFont val="Tahoma"/>
            <family val="2"/>
          </rPr>
          <t>After determining the A12 and A21, the bubble temperatures are calculated across the composition range as before.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C9" authorId="0" shapeId="0" xr:uid="{00000000-0006-0000-0700-000001000000}">
      <text>
        <r>
          <rPr>
            <sz val="8"/>
            <color rgb="FF000000"/>
            <rFont val="Tahoma"/>
            <family val="2"/>
          </rPr>
          <t>As distributed, this cell has a formula to calculate the bubble pressure.</t>
        </r>
      </text>
    </comment>
    <comment ref="G13" authorId="0" shapeId="0" xr:uid="{00000000-0006-0000-0700-000002000000}">
      <text>
        <r>
          <rPr>
            <sz val="8"/>
            <color rgb="FF000000"/>
            <rFont val="Tahoma"/>
            <family val="2"/>
          </rPr>
          <t>Enter Antoine constants or vapor pressures if you want bubble P and vapor phase concentrations calculated automatically.</t>
        </r>
      </text>
    </comment>
    <comment ref="G17" authorId="0" shapeId="0" xr:uid="{00000000-0006-0000-0700-000003000000}">
      <text>
        <r>
          <rPr>
            <sz val="8"/>
            <color rgb="FF000000"/>
            <rFont val="Tahoma"/>
            <family val="2"/>
          </rPr>
          <t>Vapor phase mole fractions calculated automatically.</t>
        </r>
      </text>
    </comment>
    <comment ref="G21" authorId="0" shapeId="0" xr:uid="{00000000-0006-0000-0700-000004000000}">
      <text>
        <r>
          <rPr>
            <sz val="8"/>
            <color rgb="FF000000"/>
            <rFont val="Tahoma"/>
            <family val="2"/>
          </rPr>
          <t>Liquid phase mole fractions. Enter a very small number like 1E-20 or smaller for absent compounds - don't use zero.</t>
        </r>
      </text>
    </comment>
    <comment ref="A23" authorId="0" shapeId="0" xr:uid="{00000000-0006-0000-0700-000005000000}">
      <text>
        <r>
          <rPr>
            <sz val="8"/>
            <color rgb="FF000000"/>
            <rFont val="Tahoma"/>
            <family val="2"/>
          </rPr>
          <t>The sub-groups available in this table may be changed in this column by changing the SubGroup number. If you change a sub-group here, be sure to edit the component structure information in the table. Available subgroups and subgroup numbers are in Table 2 of sheet "aij-UNIFAC (VLE)".</t>
        </r>
      </text>
    </comment>
    <comment ref="G23" authorId="0" shapeId="0" xr:uid="{00000000-0006-0000-0700-000006000000}">
      <text>
        <r>
          <rPr>
            <sz val="8"/>
            <color rgb="FF000000"/>
            <rFont val="Tahoma"/>
            <family val="2"/>
          </rPr>
          <t xml:space="preserve">Enter the number of occurences of a chemical structure in this table for each component. Residual group interaction parameters are not available for all groups, and </t>
        </r>
        <r>
          <rPr>
            <b/>
            <sz val="8"/>
            <color rgb="FF000000"/>
            <rFont val="Tahoma"/>
            <family val="2"/>
          </rPr>
          <t>are treated as zero if unavailable</t>
        </r>
        <r>
          <rPr>
            <sz val="8"/>
            <color rgb="FF000000"/>
            <rFont val="Tahoma"/>
            <family val="2"/>
          </rPr>
          <t>. Check Table 1 on sheet "aij-UNIFAC (VLE)".</t>
        </r>
      </text>
    </comment>
    <comment ref="G45" authorId="0" shapeId="0" xr:uid="{00000000-0006-0000-0700-000007000000}">
      <text>
        <r>
          <rPr>
            <sz val="8"/>
            <color rgb="FF000000"/>
            <rFont val="Tahoma"/>
            <family val="2"/>
          </rPr>
          <t>Note that columns H:AS are hidden. They contain intermediate calculations. Unprotect the sheet and unhide them to see the calculations.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AU8" authorId="0" shapeId="0" xr:uid="{00000000-0006-0000-0900-000001000000}">
      <text>
        <r>
          <rPr>
            <sz val="8"/>
            <color rgb="FF000000"/>
            <rFont val="Tahoma"/>
            <family val="2"/>
          </rPr>
          <t>This sheet does not yet have the cabability for specification of other functional groups without editing "aij-UNIFAC (LLE)". That will be provided in the future.</t>
        </r>
      </text>
    </comment>
  </commentList>
</comments>
</file>

<file path=xl/sharedStrings.xml><?xml version="1.0" encoding="utf-8"?>
<sst xmlns="http://schemas.openxmlformats.org/spreadsheetml/2006/main" count="557" uniqueCount="351">
  <si>
    <t>ACTCOEFF.XLS</t>
  </si>
  <si>
    <t>This workbook will calculate activities, activity coefficients, and excess Gibbs energies</t>
  </si>
  <si>
    <t xml:space="preserve">for several activity models. </t>
  </si>
  <si>
    <t>Margules</t>
  </si>
  <si>
    <t>Worksheet using the Margules equation with two adjustable parameters.</t>
  </si>
  <si>
    <t xml:space="preserve">Regular     </t>
  </si>
  <si>
    <t xml:space="preserve">A spreadsheet to calculate VLE for methanol + benzene </t>
  </si>
  <si>
    <t>using van Laar and Scatchard/Hildbrand theory.</t>
  </si>
  <si>
    <t>UNIQUAC</t>
  </si>
  <si>
    <t>A spreadsheet to use with the binary UNIQUAC activity coefficient model.</t>
  </si>
  <si>
    <t>UNIQUAC5</t>
  </si>
  <si>
    <t>A spreadsheet to use UNIQUAC with up to 5 components.</t>
  </si>
  <si>
    <t>UNIFAC (VLE)</t>
  </si>
  <si>
    <t xml:space="preserve">A spreadsheet to use with the UNIFAC activity coefficient model </t>
  </si>
  <si>
    <t>for VLE for up to 5 components.</t>
  </si>
  <si>
    <t>aij-UNIFAC (VLE)</t>
  </si>
  <si>
    <t>Database of parameters used by UNIFAC for VLE.</t>
  </si>
  <si>
    <t>for LLE for up to 5 components.</t>
  </si>
  <si>
    <t>aij-UNIFAC (LLE)</t>
  </si>
  <si>
    <t>Database of parameters used by UNIFAC for LLE.</t>
  </si>
  <si>
    <t>LLE</t>
  </si>
  <si>
    <t>Liquid + Liquid equilibria: Water + MEK example used in the text.</t>
  </si>
  <si>
    <t>Worksheets are protected. Values in blue may be changed without unlocking the spreadsheet, which will</t>
  </si>
  <si>
    <t>permit most common calculations.</t>
  </si>
  <si>
    <t>www.egr.msu.edu/~lira/thermtxt.htm</t>
  </si>
  <si>
    <t>Margules Equation</t>
  </si>
  <si>
    <r>
      <t>G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>/RT = x</t>
    </r>
    <r>
      <rPr>
        <vertAlign val="subscript"/>
        <sz val="8.5"/>
        <rFont val="Arial"/>
        <family val="2"/>
      </rPr>
      <t xml:space="preserve">1 </t>
    </r>
    <r>
      <rPr>
        <sz val="10"/>
        <rFont val="Arial"/>
        <family val="2"/>
      </rPr>
      <t>x</t>
    </r>
    <r>
      <rPr>
        <vertAlign val="subscript"/>
        <sz val="8.5"/>
        <rFont val="Arial"/>
        <family val="2"/>
      </rPr>
      <t xml:space="preserve">2 </t>
    </r>
    <r>
      <rPr>
        <sz val="10"/>
        <rFont val="Arial"/>
        <family val="2"/>
      </rPr>
      <t>( A</t>
    </r>
    <r>
      <rPr>
        <vertAlign val="subscript"/>
        <sz val="10"/>
        <rFont val="Arial"/>
        <family val="2"/>
      </rPr>
      <t xml:space="preserve">21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 xml:space="preserve"> + A</t>
    </r>
    <r>
      <rPr>
        <vertAlign val="subscript"/>
        <sz val="10"/>
        <rFont val="Arial"/>
        <family val="2"/>
      </rPr>
      <t xml:space="preserve">12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 xml:space="preserve">2 </t>
    </r>
    <r>
      <rPr>
        <sz val="10"/>
        <rFont val="Arial"/>
        <family val="2"/>
      </rPr>
      <t>)</t>
    </r>
  </si>
  <si>
    <t>Table x1 increment</t>
  </si>
  <si>
    <t>x1</t>
  </si>
  <si>
    <t>x2</t>
  </si>
  <si>
    <t>gamma1</t>
  </si>
  <si>
    <t>gamma2</t>
  </si>
  <si>
    <t>activity1</t>
  </si>
  <si>
    <t>activity2</t>
  </si>
  <si>
    <t>G(mix) /RT</t>
  </si>
  <si>
    <t xml:space="preserve">illustrated below is the methanol+benzene system.  The bubble temperatures are computed </t>
  </si>
  <si>
    <t>by setting the target y1+y2=1 by changing the estimated temperature.  This is repeated</t>
  </si>
  <si>
    <t>for each composition for each model.</t>
  </si>
  <si>
    <t>T(K)</t>
  </si>
  <si>
    <t>UNIQUAC Calculation</t>
  </si>
  <si>
    <t xml:space="preserve">Note: This spreadsheet uses the form of equations that permits the q of the residual part to differ from q </t>
  </si>
  <si>
    <t xml:space="preserve">of the combinatorial part. (Anderson, T.F., Prausnitz, J.,M., Ind. Eng. Chem. Process Des. Dev. 17, 1978, 552-561). </t>
  </si>
  <si>
    <t>are consistent with the method described in the text if the user sets q'=q.</t>
  </si>
  <si>
    <t>r</t>
  </si>
  <si>
    <t>q</t>
  </si>
  <si>
    <t>q'</t>
  </si>
  <si>
    <t>l</t>
  </si>
  <si>
    <t>l-(r/r)l</t>
  </si>
  <si>
    <t>a12</t>
  </si>
  <si>
    <t>a21</t>
  </si>
  <si>
    <t>(1) Methanol</t>
  </si>
  <si>
    <t>(2) Benzene</t>
  </si>
  <si>
    <r>
      <t>x</t>
    </r>
    <r>
      <rPr>
        <vertAlign val="subscript"/>
        <sz val="10"/>
        <rFont val="Arial"/>
        <family val="2"/>
      </rPr>
      <t>1</t>
    </r>
  </si>
  <si>
    <r>
      <t>x</t>
    </r>
    <r>
      <rPr>
        <vertAlign val="subscript"/>
        <sz val="10"/>
        <rFont val="Arial"/>
        <family val="2"/>
      </rPr>
      <t>2</t>
    </r>
  </si>
  <si>
    <t>T(C)</t>
  </si>
  <si>
    <t>tau12</t>
  </si>
  <si>
    <t>tau21</t>
  </si>
  <si>
    <t>theta1</t>
  </si>
  <si>
    <t>theta2</t>
  </si>
  <si>
    <t>theta'1</t>
  </si>
  <si>
    <t>theta'2</t>
  </si>
  <si>
    <t>phi1</t>
  </si>
  <si>
    <t>phi2</t>
  </si>
  <si>
    <t>ln(gam1)</t>
  </si>
  <si>
    <t>ln(gam2)</t>
  </si>
  <si>
    <t>gam1</t>
  </si>
  <si>
    <t>gam2</t>
  </si>
  <si>
    <t>Table for LLE as described in text.</t>
  </si>
  <si>
    <t>This spreadsheet is constructed to calculate activity coefficients for up to 5 components</t>
  </si>
  <si>
    <t>Can be used for binary or ternary.</t>
  </si>
  <si>
    <t>Follow text instructions to create macro</t>
  </si>
  <si>
    <r>
      <t>Enter T, component names,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's, r, q, and composition values.</t>
    </r>
  </si>
  <si>
    <t>Scroll right for LLE iteration table.</t>
  </si>
  <si>
    <t>Unhide columns G-R for LLE iterations.</t>
  </si>
  <si>
    <r>
      <t>K</t>
    </r>
    <r>
      <rPr>
        <vertAlign val="subscript"/>
        <sz val="10"/>
        <rFont val="Arial"/>
        <family val="2"/>
      </rPr>
      <t>i,old</t>
    </r>
  </si>
  <si>
    <t>T (K) =</t>
  </si>
  <si>
    <r>
      <t xml:space="preserve">Phase </t>
    </r>
    <r>
      <rPr>
        <sz val="10"/>
        <rFont val="Symbol"/>
        <family val="1"/>
        <charset val="2"/>
      </rPr>
      <t>a</t>
    </r>
  </si>
  <si>
    <r>
      <t xml:space="preserve">Phase </t>
    </r>
    <r>
      <rPr>
        <sz val="10"/>
        <rFont val="Symbol"/>
        <family val="1"/>
        <charset val="2"/>
      </rPr>
      <t>b</t>
    </r>
  </si>
  <si>
    <r>
      <t>K</t>
    </r>
    <r>
      <rPr>
        <vertAlign val="subscript"/>
        <sz val="10"/>
        <rFont val="Arial"/>
        <family val="2"/>
      </rPr>
      <t>i,new</t>
    </r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</si>
  <si>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i,old</t>
    </r>
  </si>
  <si>
    <t>Name</t>
  </si>
  <si>
    <t>Water</t>
  </si>
  <si>
    <t>MEK</t>
  </si>
  <si>
    <t>Acetic</t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</si>
  <si>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i,new</t>
    </r>
  </si>
  <si>
    <t>x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</si>
  <si>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i,old</t>
    </r>
  </si>
  <si>
    <t>g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</si>
  <si>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i,new</t>
    </r>
  </si>
  <si>
    <r>
      <t>x</t>
    </r>
    <r>
      <rPr>
        <sz val="10"/>
        <rFont val="Symbol"/>
        <family val="1"/>
        <charset val="2"/>
      </rPr>
      <t>g</t>
    </r>
  </si>
  <si>
    <t xml:space="preserve">To avoid having the screen jump to follow the </t>
  </si>
  <si>
    <t>cursor during macro execution, just hide ALL</t>
  </si>
  <si>
    <t>F</t>
  </si>
  <si>
    <t>of the columns that contain the activity coefficient</t>
  </si>
  <si>
    <t>calculations before executing the macro.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</si>
  <si>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r</t>
    </r>
    <r>
      <rPr>
        <vertAlign val="subscript"/>
        <sz val="10"/>
        <rFont val="Arial"/>
        <family val="2"/>
      </rPr>
      <t>i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</si>
  <si>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q</t>
    </r>
    <r>
      <rPr>
        <vertAlign val="subscript"/>
        <sz val="10"/>
        <rFont val="Arial"/>
        <family val="2"/>
      </rPr>
      <t>i</t>
    </r>
  </si>
  <si>
    <r>
      <t>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j=column), enter 0's for unused cells</t>
    </r>
  </si>
  <si>
    <t xml:space="preserve">Note: to minimize the possibility of errors, all of the pure component </t>
  </si>
  <si>
    <t>and binary parameters are taken from the tables on the left.</t>
  </si>
  <si>
    <t>There is only one place to enter pure component or binary parameters.</t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</si>
  <si>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</si>
  <si>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comb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</si>
  <si>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</si>
  <si>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/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</si>
  <si>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</si>
  <si>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resid</t>
    </r>
    <r>
      <rPr>
        <sz val="10"/>
        <rFont val="Arial"/>
        <family val="2"/>
      </rPr>
      <t>)</t>
    </r>
  </si>
  <si>
    <t>ZOOM in to see subscripts clearly, the i's and j's look the same when the font is small.</t>
  </si>
  <si>
    <t>Instructions:  Type the temperature of interest in centigrade.  Then enter the number</t>
  </si>
  <si>
    <t>of occurences of each functional group in each component.  If you have less than 5</t>
  </si>
  <si>
    <t xml:space="preserve">the pressure to be computed automatically, you must enter the Antoine coefficients of </t>
  </si>
  <si>
    <t>the components. To use different functional groups than those provided,</t>
  </si>
  <si>
    <t>follow the instructions on the aij-UNIFAC sheet.</t>
  </si>
  <si>
    <t>Note:</t>
  </si>
  <si>
    <t xml:space="preserve">hidden </t>
  </si>
  <si>
    <t>P=</t>
  </si>
  <si>
    <t>mmHg</t>
  </si>
  <si>
    <t>columns with -&gt;</t>
  </si>
  <si>
    <t>&lt;-</t>
  </si>
  <si>
    <r>
      <t>o</t>
    </r>
    <r>
      <rPr>
        <sz val="10"/>
        <rFont val="Arial"/>
        <family val="2"/>
      </rPr>
      <t>C</t>
    </r>
  </si>
  <si>
    <t>intermediate calcs</t>
  </si>
  <si>
    <r>
      <t>Antoine Coefficients (mmHg) log10(P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)=A-B/(T+C) where T[=] 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</t>
    </r>
  </si>
  <si>
    <t>comp1</t>
  </si>
  <si>
    <t>comp2</t>
  </si>
  <si>
    <t>comp3</t>
  </si>
  <si>
    <t>comp4</t>
  </si>
  <si>
    <t>comp5</t>
  </si>
  <si>
    <t xml:space="preserve">A </t>
  </si>
  <si>
    <t>B</t>
  </si>
  <si>
    <t>C</t>
  </si>
  <si>
    <r>
      <t>P</t>
    </r>
    <r>
      <rPr>
        <vertAlign val="superscript"/>
        <sz val="8"/>
        <rFont val="Arial"/>
        <family val="2"/>
      </rPr>
      <t>sat</t>
    </r>
    <r>
      <rPr>
        <sz val="8"/>
        <rFont val="Arial"/>
        <family val="2"/>
      </rPr>
      <t>[mmHg]</t>
    </r>
  </si>
  <si>
    <r>
      <t>y</t>
    </r>
    <r>
      <rPr>
        <vertAlign val="subscript"/>
        <sz val="8"/>
        <rFont val="Arial"/>
        <family val="2"/>
      </rPr>
      <t>i</t>
    </r>
  </si>
  <si>
    <t>EtOH</t>
  </si>
  <si>
    <t>C5H12</t>
  </si>
  <si>
    <r>
      <t>X</t>
    </r>
    <r>
      <rPr>
        <vertAlign val="subscript"/>
        <sz val="8"/>
        <rFont val="Arial"/>
        <family val="2"/>
      </rPr>
      <t>i</t>
    </r>
  </si>
  <si>
    <t>Q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</si>
  <si>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</si>
  <si>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sz val="10"/>
        <rFont val="Arial"/>
        <family val="2"/>
      </rPr>
      <t>j</t>
    </r>
    <r>
      <rPr>
        <sz val="10"/>
        <rFont val="Symbol"/>
        <family val="1"/>
        <charset val="2"/>
      </rPr>
      <t>/S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</si>
  <si>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</si>
  <si>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 xml:space="preserve">ln </t>
    </r>
    <r>
      <rPr>
        <sz val="8"/>
        <rFont val="Symbol"/>
        <family val="1"/>
        <charset val="2"/>
      </rPr>
      <t>G</t>
    </r>
  </si>
  <si>
    <r>
      <t>g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</si>
  <si>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j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</si>
  <si>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t>mix</t>
  </si>
  <si>
    <r>
      <t>S</t>
    </r>
    <r>
      <rPr>
        <vertAlign val="subscript"/>
        <sz val="8"/>
        <rFont val="Arial"/>
        <family val="2"/>
      </rPr>
      <t>k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k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</si>
  <si>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Q</t>
    </r>
    <r>
      <rPr>
        <vertAlign val="subscript"/>
        <sz val="8"/>
        <rFont val="Arial"/>
        <family val="2"/>
      </rPr>
      <t>i</t>
    </r>
  </si>
  <si>
    <t>N groups</t>
  </si>
  <si>
    <r>
      <t>q</t>
    </r>
    <r>
      <rPr>
        <vertAlign val="subscript"/>
        <sz val="8"/>
        <rFont val="Arial"/>
        <family val="2"/>
      </rPr>
      <t>i</t>
    </r>
  </si>
  <si>
    <r>
      <t>F</t>
    </r>
    <r>
      <rPr>
        <vertAlign val="subscript"/>
        <sz val="8"/>
        <rFont val="Arial"/>
        <family val="2"/>
      </rPr>
      <t>i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</si>
  <si>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C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</si>
  <si>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Ro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</si>
  <si>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</t>
    </r>
  </si>
  <si>
    <t>benzene</t>
  </si>
  <si>
    <t>A</t>
  </si>
  <si>
    <t>To change functional groups, trade for one of the functional groups listed unless you want to reprogram.</t>
  </si>
  <si>
    <t>For a new main group, carefully replace all entries for the row and column associated with the new group. You must unprotect</t>
  </si>
  <si>
    <t>the sheet, and then change only the values in blue.</t>
  </si>
  <si>
    <t>T=</t>
  </si>
  <si>
    <r>
      <t>a</t>
    </r>
    <r>
      <rPr>
        <i/>
        <vertAlign val="subscript"/>
        <sz val="12"/>
        <rFont val="Arial"/>
        <family val="2"/>
      </rPr>
      <t>ij</t>
    </r>
    <r>
      <rPr>
        <i/>
        <sz val="12"/>
        <rFont val="Arial"/>
        <family val="2"/>
      </rPr>
      <t xml:space="preserve"> </t>
    </r>
    <r>
      <rPr>
        <sz val="12"/>
        <rFont val="Arial"/>
        <family val="2"/>
      </rPr>
      <t>(i=column, j=row)</t>
    </r>
  </si>
  <si>
    <t>Main</t>
  </si>
  <si>
    <t>Group</t>
  </si>
  <si>
    <t>R</t>
  </si>
  <si>
    <t>CH3</t>
  </si>
  <si>
    <t>CH2</t>
  </si>
  <si>
    <t>CH</t>
  </si>
  <si>
    <t>ACH</t>
  </si>
  <si>
    <t>ACCH2</t>
  </si>
  <si>
    <t>ACCH3</t>
  </si>
  <si>
    <t>OH</t>
  </si>
  <si>
    <t>MeOH</t>
  </si>
  <si>
    <t>H2O</t>
  </si>
  <si>
    <t>ACOH</t>
  </si>
  <si>
    <t>CH3CO</t>
  </si>
  <si>
    <t>CHO</t>
  </si>
  <si>
    <t>CH3COO</t>
  </si>
  <si>
    <t>ACNH2</t>
  </si>
  <si>
    <t>COOH</t>
  </si>
  <si>
    <t>CCL3</t>
  </si>
  <si>
    <r>
      <t>Y</t>
    </r>
    <r>
      <rPr>
        <sz val="8"/>
        <rFont val="Arial"/>
        <family val="2"/>
      </rPr>
      <t xml:space="preserve"> </t>
    </r>
  </si>
  <si>
    <t>T(oC)=</t>
  </si>
  <si>
    <t>These parameters are used for the spreadsheet UNIFAC (LLE)</t>
  </si>
  <si>
    <r>
      <t xml:space="preserve">If you want to use a different subgroup, you may just change the R and Q parameters, and leave the </t>
    </r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ij</t>
    </r>
    <r>
      <rPr>
        <sz val="10"/>
        <rFont val="Arial"/>
        <family val="2"/>
      </rPr>
      <t>matrix.</t>
    </r>
  </si>
  <si>
    <t xml:space="preserve">Parameters from T. Magnussen, P. Rasmussen, A. Fredenslund, </t>
  </si>
  <si>
    <r>
      <t xml:space="preserve">Ind. Eng. Chem. Process Des. Dev., </t>
    </r>
    <r>
      <rPr>
        <sz val="10"/>
        <rFont val="Arial"/>
        <family val="2"/>
      </rPr>
      <t>1981, 20, 331-339.</t>
    </r>
  </si>
  <si>
    <t>NOTE: Blank cells mean value is unavailable</t>
  </si>
  <si>
    <t>CH2O</t>
  </si>
  <si>
    <t>CHCL2</t>
  </si>
  <si>
    <t>Water(1)+mek(2) at 298K by UNIFAC (cf Arce, JCEDat,40:226)</t>
  </si>
  <si>
    <t>Summary of calculations for Example in Textbook</t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</si>
  <si>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mix</t>
    </r>
    <r>
      <rPr>
        <sz val="10"/>
        <rFont val="Arial"/>
        <family val="2"/>
      </rPr>
      <t>/RT</t>
    </r>
  </si>
  <si>
    <r>
      <t>g</t>
    </r>
    <r>
      <rPr>
        <sz val="10"/>
        <rFont val="Arial"/>
        <family val="2"/>
      </rPr>
      <t>w</t>
    </r>
  </si>
  <si>
    <r>
      <t>g</t>
    </r>
    <r>
      <rPr>
        <sz val="10"/>
        <rFont val="Arial"/>
        <family val="2"/>
      </rPr>
      <t>mek</t>
    </r>
  </si>
  <si>
    <r>
      <t>g</t>
    </r>
    <r>
      <rPr>
        <sz val="10"/>
        <rFont val="Arial"/>
        <family val="2"/>
      </rPr>
      <t>w*xw</t>
    </r>
  </si>
  <si>
    <r>
      <t>g</t>
    </r>
    <r>
      <rPr>
        <sz val="10"/>
        <rFont val="Arial"/>
        <family val="2"/>
      </rPr>
      <t>mek*xmek</t>
    </r>
  </si>
  <si>
    <t>Coexistence calculation</t>
  </si>
  <si>
    <t>Pure Component Data</t>
  </si>
  <si>
    <t>Antoine Coeff</t>
  </si>
  <si>
    <t>T (C)</t>
  </si>
  <si>
    <r>
      <t>V</t>
    </r>
    <r>
      <rPr>
        <vertAlign val="superscript"/>
        <sz val="10"/>
        <rFont val="Arial"/>
        <family val="2"/>
      </rPr>
      <t>L</t>
    </r>
    <r>
      <rPr>
        <sz val="10"/>
        <rFont val="Arial"/>
        <family val="2"/>
      </rPr>
      <t xml:space="preserve"> (cm3/mol)</t>
    </r>
  </si>
  <si>
    <r>
      <t xml:space="preserve">d </t>
    </r>
    <r>
      <rPr>
        <sz val="10"/>
        <rFont val="Arial"/>
        <family val="2"/>
      </rPr>
      <t>(cal/cm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r>
      <rPr>
        <vertAlign val="superscript"/>
        <sz val="10"/>
        <rFont val="Arial"/>
        <family val="2"/>
      </rPr>
      <t>1/2</t>
    </r>
  </si>
  <si>
    <r>
      <t>y</t>
    </r>
    <r>
      <rPr>
        <vertAlign val="subscript"/>
        <sz val="10"/>
        <rFont val="Arial"/>
        <family val="2"/>
      </rPr>
      <t>1</t>
    </r>
  </si>
  <si>
    <r>
      <t>g1</t>
    </r>
    <r>
      <rPr>
        <sz val="10"/>
        <rFont val="Arial"/>
        <family val="2"/>
      </rPr>
      <t>*x1</t>
    </r>
  </si>
  <si>
    <r>
      <t>g2</t>
    </r>
    <r>
      <rPr>
        <sz val="10"/>
        <rFont val="Arial"/>
        <family val="2"/>
      </rPr>
      <t>*x2</t>
    </r>
  </si>
  <si>
    <r>
      <t>Dg</t>
    </r>
    <r>
      <rPr>
        <sz val="10"/>
        <rFont val="Arial"/>
        <family val="2"/>
      </rPr>
      <t>*x</t>
    </r>
  </si>
  <si>
    <t>Calculations based on data</t>
  </si>
  <si>
    <r>
      <t>F</t>
    </r>
    <r>
      <rPr>
        <vertAlign val="subscript"/>
        <sz val="10"/>
        <rFont val="Arial"/>
        <family val="2"/>
      </rPr>
      <t>1</t>
    </r>
  </si>
  <si>
    <r>
      <t>P</t>
    </r>
    <r>
      <rPr>
        <vertAlign val="subscript"/>
        <sz val="10"/>
        <rFont val="Arial"/>
        <family val="2"/>
      </rPr>
      <t>1</t>
    </r>
    <r>
      <rPr>
        <vertAlign val="superscript"/>
        <sz val="10"/>
        <rFont val="Arial"/>
        <family val="2"/>
      </rPr>
      <t>sat</t>
    </r>
  </si>
  <si>
    <r>
      <t>g</t>
    </r>
    <r>
      <rPr>
        <vertAlign val="subscript"/>
        <sz val="10"/>
        <rFont val="Arial"/>
        <family val="2"/>
      </rPr>
      <t>1</t>
    </r>
  </si>
  <si>
    <r>
      <t>g</t>
    </r>
    <r>
      <rPr>
        <vertAlign val="subscript"/>
        <sz val="10"/>
        <rFont val="Arial"/>
        <family val="2"/>
      </rPr>
      <t>2</t>
    </r>
  </si>
  <si>
    <r>
      <t>P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sat</t>
    </r>
  </si>
  <si>
    <t>P =</t>
  </si>
  <si>
    <t>mm Hg</t>
  </si>
  <si>
    <t>OBJ</t>
  </si>
  <si>
    <t>&lt;----- LLE region ---&gt;</t>
  </si>
  <si>
    <t>|</t>
  </si>
  <si>
    <t>The cross-overs in the above diagram are indicative</t>
  </si>
  <si>
    <t xml:space="preserve">of LLE. The points represent experimental data. </t>
  </si>
  <si>
    <t>An interaction parameter is necessary to fit the data</t>
  </si>
  <si>
    <t>without predicting LLE.</t>
  </si>
  <si>
    <r>
      <t>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y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-1)</t>
    </r>
    <r>
      <rPr>
        <vertAlign val="superscript"/>
        <sz val="10"/>
        <rFont val="Arial"/>
        <family val="2"/>
      </rPr>
      <t>2</t>
    </r>
  </si>
  <si>
    <t>Scatchard-Hildebrand model with binary interaction coefficient kij=</t>
  </si>
  <si>
    <t>Scatchard-Hildebrand model with zero binary interaction coefficient (x's from above) see plot ----&gt;</t>
  </si>
  <si>
    <r>
      <t>A</t>
    </r>
    <r>
      <rPr>
        <vertAlign val="subscript"/>
        <sz val="10"/>
        <rFont val="Arial"/>
        <family val="2"/>
      </rPr>
      <t>12</t>
    </r>
  </si>
  <si>
    <r>
      <t>A</t>
    </r>
    <r>
      <rPr>
        <vertAlign val="subscript"/>
        <sz val="10"/>
        <rFont val="Arial"/>
        <family val="2"/>
      </rPr>
      <t>21</t>
    </r>
  </si>
  <si>
    <r>
      <t>Van Laar model with 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and A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 xml:space="preserve"> chosen to match the azeotrope. See plot ----&gt;</t>
    </r>
  </si>
  <si>
    <t xml:space="preserve">      @x1~0.35</t>
  </si>
  <si>
    <t>Antoine A</t>
  </si>
  <si>
    <t>Antoine B</t>
  </si>
  <si>
    <t>Antoine C</t>
  </si>
  <si>
    <t>using the UNIQUAC activity coefficient expression. Antoine coeffients are optional.</t>
  </si>
  <si>
    <r>
      <t>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 (mmHg)</t>
    </r>
  </si>
  <si>
    <t>y</t>
  </si>
  <si>
    <r>
      <t>P</t>
    </r>
    <r>
      <rPr>
        <vertAlign val="subscript"/>
        <sz val="10"/>
        <rFont val="Arial"/>
        <family val="2"/>
      </rPr>
      <t>calc</t>
    </r>
    <r>
      <rPr>
        <sz val="10"/>
        <rFont val="Arial"/>
        <family val="2"/>
      </rPr>
      <t xml:space="preserve"> (mm Hg)</t>
    </r>
  </si>
  <si>
    <r>
      <t>K</t>
    </r>
    <r>
      <rPr>
        <vertAlign val="subscript"/>
        <sz val="8"/>
        <rFont val="Arial"/>
        <family val="2"/>
      </rPr>
      <t>i,old</t>
    </r>
  </si>
  <si>
    <r>
      <t>K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</si>
  <si>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</si>
  <si>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</si>
  <si>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</si>
  <si>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i,new</t>
    </r>
  </si>
  <si>
    <r>
      <t>a</t>
    </r>
    <r>
      <rPr>
        <sz val="8"/>
        <rFont val="Arial"/>
        <family val="2"/>
      </rPr>
      <t xml:space="preserve"> phase</t>
    </r>
  </si>
  <si>
    <r>
      <t>b</t>
    </r>
    <r>
      <rPr>
        <sz val="8"/>
        <rFont val="Arial"/>
        <family val="2"/>
      </rPr>
      <t xml:space="preserve"> phase</t>
    </r>
  </si>
  <si>
    <t>UNIFAC (LLEa,b)</t>
  </si>
  <si>
    <t xml:space="preserve">Two spreadsheets to use with the UNIFAC activity coefficient model </t>
  </si>
  <si>
    <t>ANTOINE</t>
  </si>
  <si>
    <t>Table of Antoine Coefficients.</t>
  </si>
  <si>
    <t>This table permits calculation of LLE if it exists as above in column G and M (LLE explained in Chap 12)</t>
  </si>
  <si>
    <t>2-Propanol</t>
  </si>
  <si>
    <t>Ind. Eng. Chem. Process Des. Dev., 1981, 20, 331-339.</t>
  </si>
  <si>
    <t xml:space="preserve">T. Magnussen, P. Rasmussen, A. Fredenslund, </t>
  </si>
  <si>
    <t xml:space="preserve">Note: MeOH is not a unique group in the citation used to </t>
  </si>
  <si>
    <t>develop this sheet.</t>
  </si>
  <si>
    <t>The formulas look a little different because or the use of the intermediate variable 'l', however the equations</t>
  </si>
  <si>
    <t>Margules Parameters</t>
  </si>
  <si>
    <t>A12_</t>
  </si>
  <si>
    <t>A21_</t>
  </si>
  <si>
    <r>
      <t>y</t>
    </r>
    <r>
      <rPr>
        <vertAlign val="subscript"/>
        <sz val="10"/>
        <rFont val="Arial"/>
        <family val="2"/>
      </rPr>
      <t>1 calc</t>
    </r>
  </si>
  <si>
    <r>
      <t>y</t>
    </r>
    <r>
      <rPr>
        <vertAlign val="subscript"/>
        <sz val="10"/>
        <rFont val="Arial"/>
        <family val="2"/>
      </rPr>
      <t>2 calc</t>
    </r>
  </si>
  <si>
    <r>
      <t>The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bubble temperatures</t>
    </r>
    <r>
      <rPr>
        <sz val="10"/>
        <rFont val="Arial"/>
        <family val="2"/>
      </rPr>
      <t xml:space="preserve"> and vapor compositions at each temperature are computed</t>
    </r>
  </si>
  <si>
    <t>Mixture data to be used in all sets:</t>
  </si>
  <si>
    <t>using: (1) the Scatchard-Hildebrand model with zero binary interaction coefficient;</t>
  </si>
  <si>
    <t xml:space="preserve">(2) the Scatchard-Hildebrand model with binary interaction coefficient chosen to match </t>
  </si>
  <si>
    <t xml:space="preserve">the bubble pressure near the azeotrope; (3) the van Laar model; The system </t>
  </si>
  <si>
    <t xml:space="preserve">Methanol+benzene data from Perry's 6th p13-12 and 13.59 </t>
  </si>
  <si>
    <t>of occurences of each functional group in each component.</t>
  </si>
  <si>
    <t>Further instructions are given in comment boxes. Use View…Comment…to show or hide them.</t>
  </si>
  <si>
    <t>Table 2. Component Structure Information and Activity Coefficient Calculation.</t>
  </si>
  <si>
    <t>SubGroup</t>
  </si>
  <si>
    <t>Parameters from "Chemical Engineering Thermodynamics", Y.V.C. Rao,</t>
  </si>
  <si>
    <t>Sangam Books, London, 1997.</t>
  </si>
  <si>
    <t>Table 3. Interaction Parameters to be used in the calculations for the selected groups as indicated on sheet "UNIFAC (VLE)".</t>
  </si>
  <si>
    <t>Table 1. Residual Group Interaction Parameters for Main Groups.</t>
  </si>
  <si>
    <t>Do not edit this table unless you want to reprogram. Change values in Tables 1 and 2 unless you want to reprogram.</t>
  </si>
  <si>
    <t>the sheet, and then change only the values in blue. See Table 2 on this sheet for subgroup parameters.</t>
  </si>
  <si>
    <t>(The chemical structures for the main groups listed here are shown in Table 2 below).</t>
  </si>
  <si>
    <t>NOTE: BLANK CELLS MEAN THE VALUE IS UNAVAILABLE AND A VALUE OF ZERO IS USED IN CALCULATIONS.</t>
  </si>
  <si>
    <t>Sub</t>
  </si>
  <si>
    <t xml:space="preserve">Table 2. Sub-group Surface and Volume Parameters. </t>
  </si>
  <si>
    <t>All sub-groups within a main group use the same residual group interaction parameters from Table 1.</t>
  </si>
  <si>
    <t>To add a new sub-group, unprotect the sheet and overwrite one of the existing rows unless you want to reprogram. If the new</t>
  </si>
  <si>
    <t>sub-group belongs to a main group that is not already listed, a row and column in Table 1 will also need to be changed.</t>
  </si>
  <si>
    <t>MainGroup</t>
  </si>
  <si>
    <r>
      <t>Y</t>
    </r>
    <r>
      <rPr>
        <sz val="10"/>
        <rFont val="Arial"/>
        <family val="2"/>
      </rPr>
      <t xml:space="preserve"> </t>
    </r>
  </si>
  <si>
    <t>CH2=CH</t>
  </si>
  <si>
    <t>CH=CH</t>
  </si>
  <si>
    <t>CH2=C</t>
  </si>
  <si>
    <t>CH=C</t>
  </si>
  <si>
    <t>C=C</t>
  </si>
  <si>
    <t>AC</t>
  </si>
  <si>
    <t>ACCH</t>
  </si>
  <si>
    <t>CH3OH</t>
  </si>
  <si>
    <t>CH2CO</t>
  </si>
  <si>
    <t>CH2COO</t>
  </si>
  <si>
    <t>CH2NH2</t>
  </si>
  <si>
    <t>CCL2</t>
  </si>
  <si>
    <t>CON(CH2)2</t>
  </si>
  <si>
    <r>
      <t>T(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C)=</t>
    </r>
  </si>
  <si>
    <r>
      <t>Table 1. Antoine Coefficients (mmHg) log10(P</t>
    </r>
    <r>
      <rPr>
        <b/>
        <vertAlign val="superscript"/>
        <sz val="10"/>
        <rFont val="Arial"/>
        <family val="2"/>
      </rPr>
      <t>sat</t>
    </r>
    <r>
      <rPr>
        <b/>
        <sz val="10"/>
        <rFont val="Arial"/>
        <family val="2"/>
      </rPr>
      <t xml:space="preserve">)=A-B/(T+C) where T[=] 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>C</t>
    </r>
  </si>
  <si>
    <r>
      <t>x</t>
    </r>
    <r>
      <rPr>
        <vertAlign val="subscript"/>
        <sz val="8"/>
        <rFont val="Arial"/>
        <family val="2"/>
      </rPr>
      <t>i</t>
    </r>
  </si>
  <si>
    <r>
      <t>a</t>
    </r>
    <r>
      <rPr>
        <i/>
        <vertAlign val="subscript"/>
        <sz val="10"/>
        <rFont val="Arial"/>
        <family val="2"/>
      </rPr>
      <t>ij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(i=column, j=row)</t>
    </r>
  </si>
  <si>
    <r>
      <t xml:space="preserve">Table 4. Matrix of </t>
    </r>
    <r>
      <rPr>
        <sz val="10"/>
        <rFont val="Symbol"/>
        <family val="1"/>
        <charset val="2"/>
      </rPr>
      <t>Y</t>
    </r>
    <r>
      <rPr>
        <sz val="10"/>
        <rFont val="Arial"/>
        <family val="2"/>
      </rPr>
      <t xml:space="preserve"> values used in calculations on sheet "UNIFAC (VLE). </t>
    </r>
  </si>
  <si>
    <t>The liquid phase mole fractions are the only variables that should be changed on this sheet.</t>
  </si>
  <si>
    <t>All component information is entered on "UNIFAC (LLEa)" and replicated here automatically.</t>
  </si>
  <si>
    <t>This sheet should be used in conjunction with "UNIFAC (LLEa)".</t>
  </si>
  <si>
    <t>Second liquid phase for LLE calculations.</t>
  </si>
  <si>
    <t>Liquid-liquid calculation using UNIFAC LLE. Sheet for first liquid phase. See also "UNIFAC (LLEb)".</t>
  </si>
  <si>
    <t>components, type a samll number like 1E-20 for the mole fractions of the absent components.  If you want</t>
  </si>
  <si>
    <t>For use with "Introductory Chemical Engineering Thermodynamics" by J.R. Elliott, C.T. Lira</t>
  </si>
  <si>
    <t>For this calculation, experimental azeotrope is taken as x1 = y1 = 0.614, T(C) = 58.3</t>
  </si>
  <si>
    <t>NRTL</t>
  </si>
  <si>
    <t>NRTL5</t>
  </si>
  <si>
    <t>Multicomponent NRTL with up to 5 components.</t>
  </si>
  <si>
    <t>Binary NRTL model.</t>
  </si>
  <si>
    <t>NRTL MODEL</t>
  </si>
  <si>
    <t>NOTE: The variable and sign conventions are the same as APSEN, not the original publication.</t>
  </si>
  <si>
    <t>HAc</t>
  </si>
  <si>
    <t>EtAc</t>
  </si>
  <si>
    <t>PropAcid</t>
  </si>
  <si>
    <t>gamma</t>
  </si>
  <si>
    <t>aij</t>
  </si>
  <si>
    <t>tau</t>
  </si>
  <si>
    <t>bij</t>
  </si>
  <si>
    <t>Gij</t>
  </si>
  <si>
    <t>term1</t>
  </si>
  <si>
    <t>term2</t>
  </si>
  <si>
    <t>inv term2</t>
  </si>
  <si>
    <t>sq inv t2</t>
  </si>
  <si>
    <t>part1</t>
  </si>
  <si>
    <t>part2</t>
  </si>
  <si>
    <t>part3</t>
  </si>
  <si>
    <t>lngamma</t>
  </si>
  <si>
    <r>
      <t>a</t>
    </r>
    <r>
      <rPr>
        <sz val="10"/>
        <rFont val="Arial"/>
        <family val="2"/>
      </rPr>
      <t>ij</t>
    </r>
  </si>
  <si>
    <t>Intermediate Calculations</t>
  </si>
  <si>
    <t>Parameters</t>
  </si>
  <si>
    <t>T (K)</t>
  </si>
  <si>
    <r>
      <t>g</t>
    </r>
    <r>
      <rPr>
        <sz val="10"/>
        <rFont val="Arial"/>
        <family val="2"/>
      </rPr>
      <t>1</t>
    </r>
  </si>
  <si>
    <r>
      <t>g</t>
    </r>
    <r>
      <rPr>
        <sz val="10"/>
        <rFont val="Arial"/>
        <family val="2"/>
      </rPr>
      <t>2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</si>
  <si>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>/R(K)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</si>
  <si>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>/R(K)</t>
    </r>
  </si>
  <si>
    <r>
      <t>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</si>
  <si>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12</t>
    </r>
  </si>
  <si>
    <r>
      <t>t</t>
    </r>
    <r>
      <rPr>
        <vertAlign val="subscript"/>
        <sz val="10"/>
        <rFont val="Arial"/>
        <family val="2"/>
      </rPr>
      <t>21</t>
    </r>
  </si>
  <si>
    <r>
      <t>G</t>
    </r>
    <r>
      <rPr>
        <vertAlign val="subscript"/>
        <sz val="10"/>
        <rFont val="Arial"/>
        <family val="2"/>
      </rPr>
      <t>12</t>
    </r>
  </si>
  <si>
    <r>
      <t>G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</si>
  <si>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+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/T, other variables as defined on the binary sheet. To reproduce original NRTL, set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0 and set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/R.</t>
    </r>
  </si>
  <si>
    <t>added NRTL and NRTL5 (CTL)</t>
  </si>
  <si>
    <t>Copyright 1997-2012, Carl Lira, Richard Elliott</t>
  </si>
  <si>
    <t>xwater</t>
  </si>
  <si>
    <t>xMEK</t>
  </si>
  <si>
    <t>DGmix/RT</t>
  </si>
  <si>
    <t>n-oct</t>
  </si>
  <si>
    <t>Drug</t>
  </si>
  <si>
    <t>n-octanol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</si>
</sst>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General_)"/>
    <numFmt numFmtId="165" formatCode="0.000000_)"/>
    <numFmt numFmtId="166" formatCode="0.000"/>
    <numFmt numFmtId="167" formatCode="0.0000"/>
    <numFmt numFmtId="168" formatCode="0.00000"/>
    <numFmt numFmtId="169" formatCode="0;0;"/>
  </numFmts>
  <fonts count="47">
    <font>
      <sz val="10"/>
      <name val="Courier"/>
    </font>
    <font>
      <sz val="10"/>
      <name val="MS Sans Serif"/>
      <family val="2"/>
    </font>
    <font>
      <sz val="18"/>
      <name val="MS Sans Serif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vertAlign val="subscript"/>
      <sz val="8.5"/>
      <name val="Arial"/>
      <family val="2"/>
    </font>
    <font>
      <vertAlign val="subscript"/>
      <sz val="10"/>
      <name val="Arial"/>
      <family val="2"/>
    </font>
    <font>
      <sz val="10"/>
      <color indexed="39"/>
      <name val="Arial"/>
      <family val="2"/>
    </font>
    <font>
      <sz val="10"/>
      <color indexed="1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vertAlign val="superscript"/>
      <sz val="8"/>
      <name val="Arial"/>
      <family val="2"/>
    </font>
    <font>
      <sz val="10"/>
      <name val="Symbol"/>
      <family val="1"/>
      <charset val="2"/>
    </font>
    <font>
      <sz val="8"/>
      <color indexed="12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vertAlign val="subscript"/>
      <sz val="8"/>
      <name val="Arial"/>
      <family val="2"/>
    </font>
    <font>
      <i/>
      <vertAlign val="subscript"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i/>
      <vertAlign val="subscript"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vertAlign val="superscript"/>
      <sz val="10"/>
      <name val="Symbol"/>
      <family val="1"/>
      <charset val="2"/>
    </font>
    <font>
      <u/>
      <sz val="10"/>
      <name val="Arial"/>
      <family val="2"/>
    </font>
    <font>
      <vertAlign val="superscript"/>
      <sz val="8"/>
      <name val="Symbol"/>
      <family val="1"/>
      <charset val="2"/>
    </font>
    <font>
      <sz val="10"/>
      <color indexed="8"/>
      <name val="Arial"/>
      <family val="2"/>
    </font>
    <font>
      <sz val="8"/>
      <color indexed="81"/>
      <name val="Tahoma"/>
      <family val="2"/>
    </font>
    <font>
      <b/>
      <i/>
      <sz val="10"/>
      <name val="Arial"/>
      <family val="2"/>
    </font>
    <font>
      <sz val="10"/>
      <name val="Courier"/>
      <family val="3"/>
    </font>
    <font>
      <b/>
      <vertAlign val="superscript"/>
      <sz val="10"/>
      <name val="Arial"/>
      <family val="2"/>
    </font>
    <font>
      <b/>
      <sz val="10"/>
      <name val="Arial"/>
      <family val="2"/>
    </font>
    <font>
      <sz val="8"/>
      <name val="Courier"/>
      <family val="3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10"/>
      <color indexed="39"/>
      <name val="Arial"/>
      <family val="2"/>
    </font>
    <font>
      <u/>
      <sz val="10"/>
      <color theme="10"/>
      <name val="Courier"/>
      <family val="1"/>
    </font>
    <font>
      <u/>
      <sz val="10"/>
      <color theme="11"/>
      <name val="Courier"/>
      <family val="1"/>
    </font>
    <font>
      <sz val="8"/>
      <color rgb="FF0000FF"/>
      <name val="Arial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2">
    <xf numFmtId="164" fontId="0" fillId="0" borderId="0"/>
    <xf numFmtId="164" fontId="33" fillId="0" borderId="0"/>
    <xf numFmtId="0" fontId="9" fillId="0" borderId="0"/>
    <xf numFmtId="0" fontId="38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4" fontId="42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2" fillId="0" borderId="0" applyNumberFormat="0" applyFill="0" applyBorder="0" applyAlignment="0" applyProtection="0"/>
    <xf numFmtId="164" fontId="43" fillId="0" borderId="0" applyNumberFormat="0" applyFill="0" applyBorder="0" applyAlignment="0" applyProtection="0"/>
  </cellStyleXfs>
  <cellXfs count="287">
    <xf numFmtId="164" fontId="0" fillId="0" borderId="0" xfId="0"/>
    <xf numFmtId="164" fontId="1" fillId="0" borderId="0" xfId="0" applyFont="1"/>
    <xf numFmtId="164" fontId="2" fillId="0" borderId="0" xfId="0" applyFont="1"/>
    <xf numFmtId="164" fontId="3" fillId="0" borderId="0" xfId="0" applyFont="1" applyAlignment="1">
      <alignment horizontal="left"/>
    </xf>
    <xf numFmtId="164" fontId="3" fillId="0" borderId="0" xfId="0" applyFont="1" applyAlignment="1">
      <alignment horizontal="center"/>
    </xf>
    <xf numFmtId="164" fontId="3" fillId="0" borderId="0" xfId="0" applyFont="1"/>
    <xf numFmtId="164" fontId="3" fillId="0" borderId="1" xfId="0" applyFont="1" applyBorder="1" applyAlignment="1">
      <alignment horizontal="left"/>
    </xf>
    <xf numFmtId="164" fontId="3" fillId="0" borderId="2" xfId="0" applyFont="1" applyBorder="1"/>
    <xf numFmtId="164" fontId="3" fillId="0" borderId="3" xfId="0" applyFont="1" applyBorder="1" applyAlignment="1">
      <alignment horizontal="center"/>
    </xf>
    <xf numFmtId="164" fontId="3" fillId="0" borderId="4" xfId="0" applyFont="1" applyBorder="1" applyAlignment="1">
      <alignment horizontal="center"/>
    </xf>
    <xf numFmtId="164" fontId="3" fillId="0" borderId="5" xfId="0" applyFont="1" applyBorder="1" applyAlignment="1">
      <alignment horizontal="center"/>
    </xf>
    <xf numFmtId="164" fontId="3" fillId="0" borderId="6" xfId="0" applyFont="1" applyBorder="1"/>
    <xf numFmtId="164" fontId="7" fillId="0" borderId="7" xfId="0" applyFont="1" applyBorder="1" applyAlignment="1" applyProtection="1">
      <alignment horizontal="center"/>
      <protection locked="0"/>
    </xf>
    <xf numFmtId="164" fontId="7" fillId="0" borderId="8" xfId="0" applyFont="1" applyBorder="1" applyAlignment="1" applyProtection="1">
      <alignment horizontal="center"/>
      <protection locked="0"/>
    </xf>
    <xf numFmtId="164" fontId="3" fillId="0" borderId="0" xfId="0" applyFont="1" applyAlignment="1" applyProtection="1">
      <alignment horizontal="center"/>
    </xf>
    <xf numFmtId="164" fontId="3" fillId="0" borderId="9" xfId="0" applyFont="1" applyBorder="1" applyAlignment="1" applyProtection="1">
      <alignment horizontal="left"/>
    </xf>
    <xf numFmtId="164" fontId="3" fillId="0" borderId="10" xfId="0" applyFont="1" applyBorder="1" applyProtection="1"/>
    <xf numFmtId="164" fontId="7" fillId="0" borderId="11" xfId="0" applyFont="1" applyBorder="1" applyProtection="1">
      <protection locked="0"/>
    </xf>
    <xf numFmtId="164" fontId="3" fillId="0" borderId="0" xfId="0" applyFont="1" applyProtection="1"/>
    <xf numFmtId="164" fontId="3" fillId="0" borderId="0" xfId="0" applyFont="1" applyBorder="1" applyAlignment="1" applyProtection="1">
      <alignment horizontal="center"/>
    </xf>
    <xf numFmtId="164" fontId="3" fillId="0" borderId="0" xfId="0" applyFont="1" applyBorder="1" applyProtection="1"/>
    <xf numFmtId="164" fontId="7" fillId="0" borderId="0" xfId="0" applyFont="1" applyAlignment="1" applyProtection="1">
      <alignment horizontal="center"/>
      <protection locked="0"/>
    </xf>
    <xf numFmtId="164" fontId="8" fillId="0" borderId="0" xfId="0" applyFont="1" applyProtection="1">
      <protection locked="0"/>
    </xf>
    <xf numFmtId="164" fontId="3" fillId="0" borderId="9" xfId="0" applyFont="1" applyBorder="1"/>
    <xf numFmtId="164" fontId="3" fillId="0" borderId="12" xfId="0" applyFont="1" applyBorder="1"/>
    <xf numFmtId="164" fontId="3" fillId="0" borderId="11" xfId="0" applyFont="1" applyBorder="1"/>
    <xf numFmtId="164" fontId="7" fillId="0" borderId="12" xfId="0" applyFont="1" applyBorder="1"/>
    <xf numFmtId="164" fontId="7" fillId="0" borderId="12" xfId="0" applyFont="1" applyBorder="1" applyProtection="1">
      <protection locked="0"/>
    </xf>
    <xf numFmtId="164" fontId="3" fillId="0" borderId="10" xfId="0" applyFont="1" applyBorder="1"/>
    <xf numFmtId="164" fontId="3" fillId="0" borderId="0" xfId="0" applyFont="1" applyAlignment="1">
      <alignment horizontal="right"/>
    </xf>
    <xf numFmtId="165" fontId="7" fillId="0" borderId="0" xfId="0" applyNumberFormat="1" applyFont="1" applyProtection="1">
      <protection locked="0"/>
    </xf>
    <xf numFmtId="0" fontId="3" fillId="0" borderId="0" xfId="0" applyNumberFormat="1" applyFont="1" applyProtection="1"/>
    <xf numFmtId="0" fontId="9" fillId="0" borderId="0" xfId="5"/>
    <xf numFmtId="0" fontId="11" fillId="0" borderId="0" xfId="5" applyFont="1"/>
    <xf numFmtId="0" fontId="11" fillId="0" borderId="0" xfId="5" applyFon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center"/>
    </xf>
    <xf numFmtId="0" fontId="9" fillId="0" borderId="0" xfId="5" applyAlignment="1">
      <alignment horizontal="center"/>
    </xf>
    <xf numFmtId="0" fontId="13" fillId="0" borderId="0" xfId="2" applyFont="1"/>
    <xf numFmtId="0" fontId="10" fillId="0" borderId="0" xfId="2" applyFont="1"/>
    <xf numFmtId="0" fontId="9" fillId="0" borderId="0" xfId="2"/>
    <xf numFmtId="0" fontId="10" fillId="0" borderId="0" xfId="2" applyFont="1" applyAlignment="1">
      <alignment horizontal="center"/>
    </xf>
    <xf numFmtId="0" fontId="9" fillId="0" borderId="0" xfId="2" applyAlignment="1">
      <alignment horizontal="center"/>
    </xf>
    <xf numFmtId="166" fontId="10" fillId="0" borderId="0" xfId="2" applyNumberFormat="1" applyFont="1"/>
    <xf numFmtId="164" fontId="0" fillId="0" borderId="0" xfId="0" applyAlignment="1">
      <alignment horizontal="center"/>
    </xf>
    <xf numFmtId="164" fontId="15" fillId="0" borderId="0" xfId="0" applyFont="1" applyAlignment="1">
      <alignment horizontal="center"/>
    </xf>
    <xf numFmtId="0" fontId="9" fillId="0" borderId="1" xfId="5" applyFont="1" applyBorder="1"/>
    <xf numFmtId="0" fontId="9" fillId="0" borderId="2" xfId="5" applyBorder="1"/>
    <xf numFmtId="0" fontId="9" fillId="0" borderId="13" xfId="5" applyFont="1" applyBorder="1"/>
    <xf numFmtId="0" fontId="9" fillId="0" borderId="0" xfId="5" applyBorder="1"/>
    <xf numFmtId="0" fontId="9" fillId="0" borderId="5" xfId="5" applyFont="1" applyBorder="1"/>
    <xf numFmtId="0" fontId="9" fillId="0" borderId="6" xfId="5" applyBorder="1"/>
    <xf numFmtId="0" fontId="11" fillId="0" borderId="3" xfId="5" applyFont="1" applyBorder="1"/>
    <xf numFmtId="0" fontId="16" fillId="0" borderId="12" xfId="5" applyFont="1" applyBorder="1" applyAlignment="1" applyProtection="1">
      <alignment horizontal="center"/>
      <protection locked="0"/>
    </xf>
    <xf numFmtId="168" fontId="16" fillId="0" borderId="12" xfId="5" applyNumberFormat="1" applyFont="1" applyBorder="1" applyAlignment="1" applyProtection="1">
      <alignment horizontal="center"/>
      <protection locked="0"/>
    </xf>
    <xf numFmtId="166" fontId="16" fillId="0" borderId="12" xfId="5" applyNumberFormat="1" applyFont="1" applyBorder="1" applyProtection="1">
      <protection locked="0"/>
    </xf>
    <xf numFmtId="166" fontId="10" fillId="0" borderId="12" xfId="5" applyNumberFormat="1" applyFont="1" applyBorder="1"/>
    <xf numFmtId="0" fontId="16" fillId="0" borderId="12" xfId="5" applyFont="1" applyBorder="1" applyProtection="1">
      <protection locked="0"/>
    </xf>
    <xf numFmtId="167" fontId="10" fillId="0" borderId="12" xfId="5" applyNumberFormat="1" applyFont="1" applyBorder="1"/>
    <xf numFmtId="0" fontId="10" fillId="0" borderId="0" xfId="2" applyNumberFormat="1" applyFont="1"/>
    <xf numFmtId="0" fontId="17" fillId="0" borderId="0" xfId="7"/>
    <xf numFmtId="0" fontId="17" fillId="0" borderId="12" xfId="7" applyBorder="1"/>
    <xf numFmtId="0" fontId="18" fillId="0" borderId="12" xfId="7" applyFont="1" applyBorder="1" applyProtection="1">
      <protection locked="0"/>
    </xf>
    <xf numFmtId="0" fontId="3" fillId="0" borderId="12" xfId="7" applyFont="1" applyBorder="1" applyProtection="1"/>
    <xf numFmtId="11" fontId="18" fillId="0" borderId="12" xfId="7" applyNumberFormat="1" applyFont="1" applyBorder="1" applyProtection="1">
      <protection locked="0"/>
    </xf>
    <xf numFmtId="0" fontId="15" fillId="0" borderId="12" xfId="7" applyFont="1" applyBorder="1"/>
    <xf numFmtId="0" fontId="17" fillId="0" borderId="0" xfId="7" applyBorder="1"/>
    <xf numFmtId="0" fontId="15" fillId="0" borderId="0" xfId="7" applyFont="1"/>
    <xf numFmtId="0" fontId="3" fillId="0" borderId="12" xfId="7" applyFont="1" applyBorder="1"/>
    <xf numFmtId="0" fontId="17" fillId="0" borderId="0" xfId="7" applyFont="1"/>
    <xf numFmtId="0" fontId="3" fillId="0" borderId="0" xfId="7" applyFont="1"/>
    <xf numFmtId="0" fontId="18" fillId="0" borderId="0" xfId="7" applyFont="1" applyBorder="1" applyProtection="1">
      <protection locked="0"/>
    </xf>
    <xf numFmtId="0" fontId="12" fillId="0" borderId="0" xfId="5" applyFont="1"/>
    <xf numFmtId="0" fontId="19" fillId="0" borderId="12" xfId="5" applyFont="1" applyBorder="1" applyProtection="1">
      <protection locked="0"/>
    </xf>
    <xf numFmtId="0" fontId="19" fillId="0" borderId="0" xfId="5" applyFont="1" applyBorder="1" applyProtection="1">
      <protection locked="0"/>
    </xf>
    <xf numFmtId="0" fontId="16" fillId="0" borderId="0" xfId="5" applyFont="1" applyBorder="1" applyProtection="1">
      <protection locked="0"/>
    </xf>
    <xf numFmtId="0" fontId="16" fillId="0" borderId="0" xfId="5" applyFont="1" applyProtection="1">
      <protection locked="0"/>
    </xf>
    <xf numFmtId="164" fontId="10" fillId="0" borderId="0" xfId="0" applyFont="1" applyAlignment="1">
      <alignment horizontal="center"/>
    </xf>
    <xf numFmtId="0" fontId="16" fillId="0" borderId="0" xfId="5" applyFont="1" applyBorder="1" applyAlignment="1" applyProtection="1">
      <alignment horizontal="center"/>
      <protection locked="0"/>
    </xf>
    <xf numFmtId="166" fontId="16" fillId="0" borderId="0" xfId="5" applyNumberFormat="1" applyFont="1" applyBorder="1" applyProtection="1">
      <protection locked="0"/>
    </xf>
    <xf numFmtId="0" fontId="15" fillId="0" borderId="0" xfId="7" applyFont="1" applyBorder="1" applyAlignment="1">
      <alignment horizontal="center"/>
    </xf>
    <xf numFmtId="0" fontId="15" fillId="0" borderId="0" xfId="7" applyFont="1" applyBorder="1"/>
    <xf numFmtId="0" fontId="13" fillId="0" borderId="0" xfId="5" applyFont="1"/>
    <xf numFmtId="0" fontId="10" fillId="0" borderId="0" xfId="5" applyFont="1" applyBorder="1" applyProtection="1"/>
    <xf numFmtId="0" fontId="10" fillId="0" borderId="1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164" fontId="10" fillId="0" borderId="4" xfId="0" applyFont="1" applyBorder="1"/>
    <xf numFmtId="0" fontId="10" fillId="0" borderId="4" xfId="5" applyFont="1" applyBorder="1" applyAlignment="1">
      <alignment horizontal="center"/>
    </xf>
    <xf numFmtId="0" fontId="10" fillId="0" borderId="2" xfId="5" applyFont="1" applyBorder="1"/>
    <xf numFmtId="0" fontId="10" fillId="0" borderId="4" xfId="5" applyFont="1" applyBorder="1"/>
    <xf numFmtId="164" fontId="10" fillId="0" borderId="1" xfId="0" applyFont="1" applyBorder="1"/>
    <xf numFmtId="164" fontId="10" fillId="0" borderId="2" xfId="0" applyFont="1" applyBorder="1"/>
    <xf numFmtId="0" fontId="12" fillId="0" borderId="1" xfId="5" applyFont="1" applyBorder="1"/>
    <xf numFmtId="0" fontId="12" fillId="0" borderId="2" xfId="5" applyFont="1" applyBorder="1"/>
    <xf numFmtId="0" fontId="12" fillId="0" borderId="4" xfId="5" applyFont="1" applyBorder="1"/>
    <xf numFmtId="0" fontId="10" fillId="0" borderId="13" xfId="5" applyFont="1" applyBorder="1" applyAlignment="1">
      <alignment horizontal="center"/>
    </xf>
    <xf numFmtId="0" fontId="10" fillId="0" borderId="0" xfId="5" applyFont="1" applyBorder="1" applyAlignment="1">
      <alignment horizontal="center"/>
    </xf>
    <xf numFmtId="164" fontId="10" fillId="0" borderId="14" xfId="0" applyFont="1" applyBorder="1"/>
    <xf numFmtId="0" fontId="10" fillId="0" borderId="14" xfId="5" applyFont="1" applyBorder="1" applyAlignment="1">
      <alignment horizontal="center"/>
    </xf>
    <xf numFmtId="0" fontId="10" fillId="0" borderId="0" xfId="5" applyFont="1" applyBorder="1"/>
    <xf numFmtId="0" fontId="10" fillId="0" borderId="14" xfId="5" applyFont="1" applyBorder="1"/>
    <xf numFmtId="164" fontId="10" fillId="0" borderId="13" xfId="0" applyFont="1" applyBorder="1"/>
    <xf numFmtId="164" fontId="10" fillId="0" borderId="0" xfId="0" applyFont="1" applyBorder="1"/>
    <xf numFmtId="0" fontId="12" fillId="0" borderId="13" xfId="5" applyFont="1" applyBorder="1"/>
    <xf numFmtId="0" fontId="12" fillId="0" borderId="0" xfId="5" applyFont="1" applyBorder="1"/>
    <xf numFmtId="0" fontId="12" fillId="0" borderId="14" xfId="5" applyFont="1" applyBorder="1"/>
    <xf numFmtId="0" fontId="10" fillId="0" borderId="13" xfId="5" applyFont="1" applyBorder="1"/>
    <xf numFmtId="0" fontId="10" fillId="0" borderId="5" xfId="5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164" fontId="10" fillId="0" borderId="8" xfId="0" applyFont="1" applyBorder="1"/>
    <xf numFmtId="0" fontId="10" fillId="0" borderId="8" xfId="5" applyFont="1" applyBorder="1" applyAlignment="1">
      <alignment horizontal="center"/>
    </xf>
    <xf numFmtId="0" fontId="10" fillId="0" borderId="6" xfId="5" applyFont="1" applyBorder="1"/>
    <xf numFmtId="0" fontId="10" fillId="0" borderId="8" xfId="5" applyFont="1" applyBorder="1"/>
    <xf numFmtId="164" fontId="10" fillId="0" borderId="5" xfId="0" applyFont="1" applyBorder="1"/>
    <xf numFmtId="164" fontId="10" fillId="0" borderId="6" xfId="0" applyFont="1" applyBorder="1"/>
    <xf numFmtId="0" fontId="12" fillId="0" borderId="5" xfId="5" applyFont="1" applyBorder="1"/>
    <xf numFmtId="0" fontId="12" fillId="0" borderId="6" xfId="5" applyFont="1" applyBorder="1"/>
    <xf numFmtId="0" fontId="12" fillId="0" borderId="8" xfId="5" applyFont="1" applyBorder="1"/>
    <xf numFmtId="0" fontId="13" fillId="0" borderId="0" xfId="5" applyFont="1" applyAlignment="1">
      <alignment horizontal="center"/>
    </xf>
    <xf numFmtId="0" fontId="10" fillId="0" borderId="0" xfId="5" applyFont="1" applyProtection="1"/>
    <xf numFmtId="0" fontId="11" fillId="0" borderId="0" xfId="5" applyFont="1" applyProtection="1"/>
    <xf numFmtId="167" fontId="10" fillId="0" borderId="0" xfId="5" applyNumberFormat="1" applyFont="1" applyBorder="1"/>
    <xf numFmtId="167" fontId="10" fillId="0" borderId="0" xfId="5" applyNumberFormat="1" applyFont="1" applyAlignment="1">
      <alignment horizontal="center"/>
    </xf>
    <xf numFmtId="0" fontId="3" fillId="0" borderId="0" xfId="2" applyFont="1"/>
    <xf numFmtId="0" fontId="22" fillId="0" borderId="0" xfId="2" applyFont="1"/>
    <xf numFmtId="0" fontId="10" fillId="0" borderId="12" xfId="2" applyFont="1" applyBorder="1" applyAlignment="1">
      <alignment horizontal="center"/>
    </xf>
    <xf numFmtId="0" fontId="16" fillId="0" borderId="12" xfId="2" applyFont="1" applyBorder="1"/>
    <xf numFmtId="0" fontId="16" fillId="0" borderId="13" xfId="2" applyFont="1" applyBorder="1"/>
    <xf numFmtId="0" fontId="16" fillId="0" borderId="14" xfId="2" applyFont="1" applyBorder="1"/>
    <xf numFmtId="0" fontId="16" fillId="0" borderId="1" xfId="2" applyFont="1" applyBorder="1"/>
    <xf numFmtId="0" fontId="16" fillId="0" borderId="2" xfId="2" applyFont="1" applyBorder="1"/>
    <xf numFmtId="0" fontId="16" fillId="0" borderId="4" xfId="2" applyFont="1" applyBorder="1"/>
    <xf numFmtId="0" fontId="10" fillId="0" borderId="12" xfId="2" applyFont="1" applyBorder="1"/>
    <xf numFmtId="0" fontId="16" fillId="0" borderId="0" xfId="2" applyFont="1" applyBorder="1"/>
    <xf numFmtId="0" fontId="16" fillId="0" borderId="5" xfId="2" applyFont="1" applyBorder="1"/>
    <xf numFmtId="0" fontId="16" fillId="0" borderId="8" xfId="2" applyFont="1" applyBorder="1"/>
    <xf numFmtId="0" fontId="16" fillId="0" borderId="6" xfId="2" applyFont="1" applyBorder="1"/>
    <xf numFmtId="164" fontId="10" fillId="0" borderId="0" xfId="0" applyFont="1"/>
    <xf numFmtId="0" fontId="12" fillId="0" borderId="0" xfId="5" applyNumberFormat="1" applyFont="1"/>
    <xf numFmtId="0" fontId="23" fillId="0" borderId="0" xfId="2" applyFont="1"/>
    <xf numFmtId="2" fontId="3" fillId="0" borderId="0" xfId="0" applyNumberFormat="1" applyFont="1"/>
    <xf numFmtId="168" fontId="3" fillId="0" borderId="0" xfId="0" applyNumberFormat="1" applyFont="1"/>
    <xf numFmtId="168" fontId="10" fillId="0" borderId="0" xfId="0" applyNumberFormat="1" applyFont="1"/>
    <xf numFmtId="168" fontId="12" fillId="0" borderId="0" xfId="5" applyNumberFormat="1" applyFont="1"/>
    <xf numFmtId="0" fontId="3" fillId="0" borderId="0" xfId="5" applyFont="1"/>
    <xf numFmtId="0" fontId="18" fillId="0" borderId="0" xfId="5" applyFont="1" applyProtection="1">
      <protection locked="0"/>
    </xf>
    <xf numFmtId="0" fontId="4" fillId="0" borderId="0" xfId="5" applyFont="1"/>
    <xf numFmtId="169" fontId="10" fillId="0" borderId="0" xfId="2" applyNumberFormat="1" applyFont="1"/>
    <xf numFmtId="166" fontId="26" fillId="0" borderId="0" xfId="2" applyNumberFormat="1" applyFont="1"/>
    <xf numFmtId="169" fontId="10" fillId="0" borderId="0" xfId="0" applyNumberFormat="1" applyFont="1"/>
    <xf numFmtId="169" fontId="3" fillId="0" borderId="0" xfId="2" applyNumberFormat="1" applyFont="1"/>
    <xf numFmtId="0" fontId="3" fillId="0" borderId="0" xfId="7" applyFont="1" applyBorder="1"/>
    <xf numFmtId="0" fontId="3" fillId="0" borderId="0" xfId="7" applyFont="1" applyBorder="1" applyProtection="1"/>
    <xf numFmtId="0" fontId="17" fillId="0" borderId="0" xfId="7" applyFont="1" applyBorder="1"/>
    <xf numFmtId="0" fontId="17" fillId="0" borderId="0" xfId="7" applyNumberFormat="1"/>
    <xf numFmtId="0" fontId="3" fillId="0" borderId="0" xfId="4" applyFont="1"/>
    <xf numFmtId="0" fontId="17" fillId="0" borderId="0" xfId="4" applyFont="1"/>
    <xf numFmtId="0" fontId="15" fillId="0" borderId="0" xfId="4" applyFont="1"/>
    <xf numFmtId="0" fontId="15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28" fillId="0" borderId="0" xfId="4" applyFont="1"/>
    <xf numFmtId="0" fontId="18" fillId="0" borderId="0" xfId="4" applyFont="1" applyProtection="1">
      <protection locked="0"/>
    </xf>
    <xf numFmtId="0" fontId="3" fillId="0" borderId="0" xfId="4" applyFont="1" applyAlignment="1">
      <alignment horizontal="right"/>
    </xf>
    <xf numFmtId="0" fontId="3" fillId="0" borderId="1" xfId="4" applyFont="1" applyBorder="1"/>
    <xf numFmtId="0" fontId="3" fillId="0" borderId="13" xfId="4" applyFont="1" applyBorder="1"/>
    <xf numFmtId="0" fontId="18" fillId="0" borderId="0" xfId="4" applyFont="1" applyBorder="1" applyProtection="1">
      <protection locked="0"/>
    </xf>
    <xf numFmtId="0" fontId="3" fillId="0" borderId="5" xfId="4" applyFont="1" applyBorder="1"/>
    <xf numFmtId="0" fontId="18" fillId="0" borderId="6" xfId="4" applyFont="1" applyBorder="1" applyProtection="1">
      <protection locked="0"/>
    </xf>
    <xf numFmtId="0" fontId="3" fillId="0" borderId="12" xfId="4" applyFont="1" applyBorder="1"/>
    <xf numFmtId="0" fontId="18" fillId="0" borderId="12" xfId="4" applyFont="1" applyBorder="1" applyProtection="1">
      <protection locked="0"/>
    </xf>
    <xf numFmtId="0" fontId="15" fillId="0" borderId="12" xfId="4" applyFont="1" applyBorder="1"/>
    <xf numFmtId="0" fontId="3" fillId="0" borderId="0" xfId="4" applyFont="1" applyBorder="1"/>
    <xf numFmtId="0" fontId="15" fillId="0" borderId="0" xfId="4" applyFont="1" applyBorder="1"/>
    <xf numFmtId="0" fontId="3" fillId="0" borderId="2" xfId="4" applyFont="1" applyBorder="1"/>
    <xf numFmtId="0" fontId="3" fillId="0" borderId="2" xfId="4" applyFont="1" applyBorder="1" applyAlignment="1">
      <alignment horizontal="center"/>
    </xf>
    <xf numFmtId="0" fontId="15" fillId="0" borderId="2" xfId="4" applyFont="1" applyBorder="1"/>
    <xf numFmtId="0" fontId="3" fillId="0" borderId="4" xfId="4" applyFont="1" applyBorder="1"/>
    <xf numFmtId="0" fontId="3" fillId="0" borderId="14" xfId="4" applyFont="1" applyBorder="1"/>
    <xf numFmtId="0" fontId="3" fillId="0" borderId="6" xfId="4" applyFont="1" applyBorder="1"/>
    <xf numFmtId="0" fontId="3" fillId="0" borderId="8" xfId="4" applyFont="1" applyBorder="1"/>
    <xf numFmtId="0" fontId="17" fillId="0" borderId="12" xfId="4" applyFont="1" applyBorder="1"/>
    <xf numFmtId="0" fontId="3" fillId="0" borderId="12" xfId="4" applyFont="1" applyBorder="1" applyAlignment="1">
      <alignment horizontal="center"/>
    </xf>
    <xf numFmtId="0" fontId="15" fillId="0" borderId="6" xfId="4" applyFont="1" applyBorder="1"/>
    <xf numFmtId="0" fontId="17" fillId="0" borderId="12" xfId="7" applyFont="1" applyBorder="1"/>
    <xf numFmtId="0" fontId="17" fillId="0" borderId="12" xfId="7" applyFont="1" applyBorder="1" applyProtection="1"/>
    <xf numFmtId="167" fontId="17" fillId="0" borderId="12" xfId="7" applyNumberFormat="1" applyBorder="1" applyProtection="1"/>
    <xf numFmtId="0" fontId="17" fillId="0" borderId="12" xfId="7" applyBorder="1" applyProtection="1"/>
    <xf numFmtId="0" fontId="17" fillId="0" borderId="0" xfId="7" applyProtection="1"/>
    <xf numFmtId="0" fontId="11" fillId="0" borderId="15" xfId="5" applyFont="1" applyBorder="1"/>
    <xf numFmtId="164" fontId="3" fillId="0" borderId="7" xfId="0" applyFont="1" applyBorder="1"/>
    <xf numFmtId="0" fontId="10" fillId="0" borderId="0" xfId="7" applyFont="1"/>
    <xf numFmtId="168" fontId="16" fillId="0" borderId="12" xfId="5" applyNumberFormat="1" applyFont="1" applyBorder="1" applyProtection="1">
      <protection locked="0"/>
    </xf>
    <xf numFmtId="0" fontId="3" fillId="0" borderId="0" xfId="5" applyFont="1" applyProtection="1"/>
    <xf numFmtId="0" fontId="10" fillId="0" borderId="12" xfId="5" applyFont="1" applyBorder="1" applyProtection="1"/>
    <xf numFmtId="168" fontId="10" fillId="0" borderId="12" xfId="5" applyNumberFormat="1" applyFont="1" applyBorder="1" applyProtection="1"/>
    <xf numFmtId="168" fontId="16" fillId="0" borderId="0" xfId="5" applyNumberFormat="1" applyFont="1" applyProtection="1">
      <protection locked="0"/>
    </xf>
    <xf numFmtId="0" fontId="18" fillId="0" borderId="0" xfId="7" applyNumberFormat="1" applyFont="1" applyProtection="1">
      <protection locked="0"/>
    </xf>
    <xf numFmtId="0" fontId="30" fillId="0" borderId="0" xfId="7" applyFont="1" applyProtection="1">
      <protection locked="0"/>
    </xf>
    <xf numFmtId="168" fontId="10" fillId="0" borderId="0" xfId="5" applyNumberFormat="1" applyFont="1" applyProtection="1">
      <protection locked="0"/>
    </xf>
    <xf numFmtId="168" fontId="10" fillId="0" borderId="0" xfId="0" applyNumberFormat="1" applyFont="1" applyProtection="1">
      <protection locked="0"/>
    </xf>
    <xf numFmtId="0" fontId="3" fillId="0" borderId="0" xfId="5" applyFont="1" applyAlignment="1">
      <alignment horizontal="center"/>
    </xf>
    <xf numFmtId="0" fontId="17" fillId="0" borderId="0" xfId="6"/>
    <xf numFmtId="164" fontId="33" fillId="0" borderId="0" xfId="1"/>
    <xf numFmtId="0" fontId="3" fillId="0" borderId="12" xfId="5" applyFont="1" applyBorder="1"/>
    <xf numFmtId="0" fontId="18" fillId="0" borderId="12" xfId="5" applyFont="1" applyBorder="1" applyProtection="1">
      <protection locked="0"/>
    </xf>
    <xf numFmtId="0" fontId="4" fillId="0" borderId="12" xfId="5" applyFont="1" applyBorder="1"/>
    <xf numFmtId="0" fontId="35" fillId="0" borderId="0" xfId="5" applyFont="1"/>
    <xf numFmtId="164" fontId="16" fillId="0" borderId="12" xfId="1" applyFont="1" applyBorder="1" applyProtection="1">
      <protection locked="0"/>
    </xf>
    <xf numFmtId="164" fontId="10" fillId="0" borderId="0" xfId="1" applyFont="1" applyAlignment="1">
      <alignment horizontal="center"/>
    </xf>
    <xf numFmtId="164" fontId="36" fillId="0" borderId="0" xfId="1" applyFont="1"/>
    <xf numFmtId="164" fontId="3" fillId="0" borderId="0" xfId="1" applyFont="1"/>
    <xf numFmtId="0" fontId="16" fillId="0" borderId="0" xfId="5" applyFont="1" applyAlignment="1" applyProtection="1">
      <alignment horizontal="center"/>
      <protection locked="0"/>
    </xf>
    <xf numFmtId="164" fontId="10" fillId="0" borderId="4" xfId="1" applyFont="1" applyBorder="1"/>
    <xf numFmtId="164" fontId="10" fillId="0" borderId="1" xfId="1" applyFont="1" applyBorder="1"/>
    <xf numFmtId="164" fontId="10" fillId="0" borderId="2" xfId="1" applyFont="1" applyBorder="1"/>
    <xf numFmtId="164" fontId="10" fillId="0" borderId="14" xfId="1" applyFont="1" applyBorder="1"/>
    <xf numFmtId="164" fontId="10" fillId="0" borderId="13" xfId="1" applyFont="1" applyBorder="1"/>
    <xf numFmtId="164" fontId="10" fillId="0" borderId="0" xfId="1" applyFont="1" applyBorder="1"/>
    <xf numFmtId="164" fontId="10" fillId="0" borderId="8" xfId="1" applyFont="1" applyBorder="1"/>
    <xf numFmtId="164" fontId="10" fillId="0" borderId="5" xfId="1" applyFont="1" applyBorder="1"/>
    <xf numFmtId="164" fontId="10" fillId="0" borderId="6" xfId="1" applyFont="1" applyBorder="1"/>
    <xf numFmtId="0" fontId="3" fillId="0" borderId="0" xfId="2" applyFont="1" applyProtection="1"/>
    <xf numFmtId="0" fontId="17" fillId="0" borderId="0" xfId="2" applyFont="1" applyProtection="1"/>
    <xf numFmtId="0" fontId="35" fillId="0" borderId="0" xfId="2" applyFont="1" applyProtection="1"/>
    <xf numFmtId="164" fontId="33" fillId="0" borderId="0" xfId="1" applyFont="1" applyProtection="1"/>
    <xf numFmtId="164" fontId="3" fillId="0" borderId="0" xfId="1" applyFont="1" applyProtection="1"/>
    <xf numFmtId="0" fontId="25" fillId="0" borderId="0" xfId="2" applyFont="1" applyProtection="1"/>
    <xf numFmtId="164" fontId="37" fillId="0" borderId="0" xfId="1" applyFont="1" applyProtection="1"/>
    <xf numFmtId="169" fontId="3" fillId="0" borderId="0" xfId="2" applyNumberFormat="1" applyFont="1" applyProtection="1"/>
    <xf numFmtId="169" fontId="3" fillId="0" borderId="0" xfId="1" applyNumberFormat="1" applyFont="1" applyProtection="1"/>
    <xf numFmtId="0" fontId="3" fillId="0" borderId="0" xfId="6" applyFont="1" applyProtection="1"/>
    <xf numFmtId="0" fontId="3" fillId="0" borderId="12" xfId="2" applyFont="1" applyBorder="1" applyAlignment="1" applyProtection="1">
      <alignment horizontal="center"/>
    </xf>
    <xf numFmtId="0" fontId="3" fillId="0" borderId="9" xfId="2" applyFont="1" applyBorder="1" applyAlignment="1" applyProtection="1">
      <alignment horizontal="center"/>
    </xf>
    <xf numFmtId="0" fontId="3" fillId="0" borderId="0" xfId="2" applyFont="1" applyAlignment="1" applyProtection="1">
      <alignment horizontal="center"/>
    </xf>
    <xf numFmtId="164" fontId="18" fillId="0" borderId="0" xfId="1" applyFont="1" applyProtection="1"/>
    <xf numFmtId="0" fontId="18" fillId="0" borderId="1" xfId="2" applyFont="1" applyBorder="1" applyProtection="1"/>
    <xf numFmtId="0" fontId="18" fillId="0" borderId="2" xfId="2" applyFont="1" applyBorder="1" applyProtection="1"/>
    <xf numFmtId="0" fontId="18" fillId="0" borderId="4" xfId="2" applyFont="1" applyBorder="1" applyProtection="1"/>
    <xf numFmtId="0" fontId="3" fillId="0" borderId="12" xfId="2" applyFont="1" applyBorder="1" applyProtection="1"/>
    <xf numFmtId="0" fontId="3" fillId="0" borderId="0" xfId="2" applyFont="1" applyBorder="1" applyProtection="1"/>
    <xf numFmtId="0" fontId="3" fillId="0" borderId="1" xfId="2" applyFont="1" applyBorder="1" applyProtection="1"/>
    <xf numFmtId="0" fontId="3" fillId="0" borderId="2" xfId="2" applyFont="1" applyBorder="1" applyProtection="1"/>
    <xf numFmtId="0" fontId="18" fillId="0" borderId="13" xfId="2" applyFont="1" applyBorder="1" applyProtection="1"/>
    <xf numFmtId="0" fontId="18" fillId="0" borderId="0" xfId="2" applyFont="1" applyBorder="1" applyProtection="1"/>
    <xf numFmtId="0" fontId="18" fillId="0" borderId="14" xfId="2" applyFont="1" applyBorder="1" applyProtection="1"/>
    <xf numFmtId="0" fontId="3" fillId="0" borderId="13" xfId="2" applyFont="1" applyBorder="1" applyProtection="1"/>
    <xf numFmtId="0" fontId="3" fillId="0" borderId="14" xfId="2" applyFont="1" applyBorder="1" applyProtection="1"/>
    <xf numFmtId="0" fontId="18" fillId="0" borderId="5" xfId="2" applyFont="1" applyBorder="1" applyProtection="1"/>
    <xf numFmtId="0" fontId="18" fillId="0" borderId="6" xfId="2" applyFont="1" applyBorder="1" applyProtection="1"/>
    <xf numFmtId="0" fontId="18" fillId="0" borderId="8" xfId="2" applyFont="1" applyBorder="1" applyProtection="1"/>
    <xf numFmtId="0" fontId="17" fillId="0" borderId="0" xfId="2" applyFont="1" applyAlignment="1" applyProtection="1">
      <alignment horizontal="center"/>
    </xf>
    <xf numFmtId="0" fontId="3" fillId="0" borderId="5" xfId="2" applyFont="1" applyBorder="1" applyProtection="1"/>
    <xf numFmtId="0" fontId="3" fillId="0" borderId="8" xfId="2" applyFont="1" applyBorder="1" applyProtection="1"/>
    <xf numFmtId="0" fontId="3" fillId="0" borderId="6" xfId="2" applyFont="1" applyBorder="1" applyProtection="1"/>
    <xf numFmtId="0" fontId="17" fillId="0" borderId="0" xfId="2" applyFont="1" applyAlignment="1" applyProtection="1">
      <alignment horizontal="left"/>
    </xf>
    <xf numFmtId="0" fontId="17" fillId="0" borderId="0" xfId="6" applyProtection="1"/>
    <xf numFmtId="0" fontId="15" fillId="0" borderId="0" xfId="2" applyFont="1" applyProtection="1"/>
    <xf numFmtId="0" fontId="18" fillId="0" borderId="0" xfId="2" applyFont="1" applyProtection="1"/>
    <xf numFmtId="0" fontId="18" fillId="0" borderId="0" xfId="2" applyFont="1" applyAlignment="1" applyProtection="1"/>
    <xf numFmtId="0" fontId="3" fillId="0" borderId="0" xfId="2" applyNumberFormat="1" applyFont="1" applyProtection="1"/>
    <xf numFmtId="166" fontId="3" fillId="0" borderId="0" xfId="2" applyNumberFormat="1" applyFont="1" applyProtection="1"/>
    <xf numFmtId="0" fontId="10" fillId="0" borderId="12" xfId="5" applyFont="1" applyBorder="1" applyAlignment="1" applyProtection="1">
      <alignment horizontal="center"/>
    </xf>
    <xf numFmtId="168" fontId="10" fillId="0" borderId="12" xfId="5" applyNumberFormat="1" applyFont="1" applyBorder="1" applyAlignment="1" applyProtection="1">
      <alignment horizontal="center"/>
    </xf>
    <xf numFmtId="0" fontId="38" fillId="0" borderId="0" xfId="3"/>
    <xf numFmtId="0" fontId="15" fillId="0" borderId="0" xfId="3" applyFont="1"/>
    <xf numFmtId="0" fontId="38" fillId="0" borderId="12" xfId="3" applyBorder="1"/>
    <xf numFmtId="0" fontId="40" fillId="0" borderId="12" xfId="3" applyFont="1" applyBorder="1" applyProtection="1">
      <protection locked="0"/>
    </xf>
    <xf numFmtId="11" fontId="40" fillId="0" borderId="12" xfId="3" applyNumberFormat="1" applyFont="1" applyBorder="1" applyProtection="1">
      <protection locked="0"/>
    </xf>
    <xf numFmtId="0" fontId="38" fillId="0" borderId="12" xfId="3" applyFont="1" applyBorder="1" applyProtection="1"/>
    <xf numFmtId="0" fontId="38" fillId="0" borderId="0" xfId="3" applyFont="1"/>
    <xf numFmtId="0" fontId="38" fillId="0" borderId="1" xfId="3" applyBorder="1"/>
    <xf numFmtId="0" fontId="38" fillId="0" borderId="2" xfId="3" applyBorder="1"/>
    <xf numFmtId="0" fontId="38" fillId="0" borderId="4" xfId="3" applyBorder="1"/>
    <xf numFmtId="0" fontId="38" fillId="0" borderId="13" xfId="3" applyBorder="1"/>
    <xf numFmtId="0" fontId="38" fillId="0" borderId="0" xfId="3" applyBorder="1"/>
    <xf numFmtId="0" fontId="38" fillId="0" borderId="14" xfId="3" applyBorder="1"/>
    <xf numFmtId="0" fontId="38" fillId="0" borderId="5" xfId="3" applyBorder="1"/>
    <xf numFmtId="0" fontId="38" fillId="0" borderId="6" xfId="3" applyBorder="1"/>
    <xf numFmtId="0" fontId="38" fillId="0" borderId="8" xfId="3" applyBorder="1"/>
    <xf numFmtId="0" fontId="41" fillId="0" borderId="0" xfId="3" applyFont="1" applyProtection="1">
      <protection locked="0"/>
    </xf>
    <xf numFmtId="0" fontId="3" fillId="0" borderId="0" xfId="3" applyFont="1"/>
    <xf numFmtId="14" fontId="3" fillId="0" borderId="0" xfId="0" applyNumberFormat="1" applyFont="1"/>
    <xf numFmtId="166" fontId="44" fillId="0" borderId="12" xfId="0" applyNumberFormat="1" applyFont="1" applyBorder="1" applyProtection="1">
      <protection locked="0"/>
    </xf>
    <xf numFmtId="0" fontId="10" fillId="0" borderId="12" xfId="5" applyFont="1" applyBorder="1"/>
    <xf numFmtId="0" fontId="9" fillId="0" borderId="12" xfId="5" applyBorder="1"/>
    <xf numFmtId="0" fontId="11" fillId="0" borderId="12" xfId="5" applyFont="1" applyBorder="1"/>
    <xf numFmtId="11" fontId="10" fillId="0" borderId="12" xfId="5" applyNumberFormat="1" applyFont="1" applyBorder="1"/>
  </cellXfs>
  <cellStyles count="12">
    <cellStyle name="Followed Hyperlink" xfId="9" builtinId="9" hidden="1"/>
    <cellStyle name="Followed Hyperlink" xfId="11" builtinId="9" hidden="1"/>
    <cellStyle name="Hyperlink" xfId="8" builtinId="8" hidden="1"/>
    <cellStyle name="Hyperlink" xfId="10" builtinId="8" hidden="1"/>
    <cellStyle name="Normal" xfId="0" builtinId="0"/>
    <cellStyle name="Normal_Actcoeff" xfId="1" xr:uid="{00000000-0005-0000-0000-000005000000}"/>
    <cellStyle name="Normal_aij-unifac" xfId="2" xr:uid="{00000000-0005-0000-0000-000006000000}"/>
    <cellStyle name="Normal_nrtlaug11" xfId="3" xr:uid="{00000000-0005-0000-0000-000007000000}"/>
    <cellStyle name="Normal_Regular" xfId="4" xr:uid="{00000000-0005-0000-0000-000008000000}"/>
    <cellStyle name="Normal_unifac" xfId="5" xr:uid="{00000000-0005-0000-0000-000009000000}"/>
    <cellStyle name="Normal_unifac_1" xfId="6" xr:uid="{00000000-0005-0000-0000-00000A000000}"/>
    <cellStyle name="Normal_UNIQUAC5" xfId="7" xr:uid="{00000000-0005-0000-0000-00000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59741660261001"/>
          <c:y val="0.122049520816136"/>
          <c:w val="0.78139292403614802"/>
          <c:h val="0.55600337260683996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Regular!$B$23:$O$23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1BF-3C4E-84D1-F99E3B8B2C09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Regular!$B$28:$O$28</c:f>
              <c:numCache>
                <c:formatCode>General</c:formatCode>
                <c:ptCount val="14"/>
                <c:pt idx="0">
                  <c:v>0</c:v>
                </c:pt>
                <c:pt idx="1">
                  <c:v>0.18523807606481901</c:v>
                </c:pt>
                <c:pt idx="2">
                  <c:v>0.30110019978909031</c:v>
                </c:pt>
                <c:pt idx="3">
                  <c:v>0.42490450918554279</c:v>
                </c:pt>
                <c:pt idx="4">
                  <c:v>0.56413292160300499</c:v>
                </c:pt>
                <c:pt idx="5">
                  <c:v>0.6635958059604512</c:v>
                </c:pt>
                <c:pt idx="6">
                  <c:v>0.68426254011950605</c:v>
                </c:pt>
                <c:pt idx="7">
                  <c:v>0.70609242119422044</c:v>
                </c:pt>
                <c:pt idx="8">
                  <c:v>0.6668775292468565</c:v>
                </c:pt>
                <c:pt idx="9">
                  <c:v>0.62387464473882026</c:v>
                </c:pt>
                <c:pt idx="10">
                  <c:v>0.55592059370370883</c:v>
                </c:pt>
                <c:pt idx="11">
                  <c:v>0.66337888032750214</c:v>
                </c:pt>
                <c:pt idx="12">
                  <c:v>0.66318930258351361</c:v>
                </c:pt>
                <c:pt idx="13">
                  <c:v>0.99999333150316094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1BF-3C4E-84D1-F99E3B8B2C09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1BF-3C4E-84D1-F99E3B8B2C09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1BF-3C4E-84D1-F99E3B8B2C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9569688"/>
        <c:axId val="2119527176"/>
      </c:scatterChart>
      <c:valAx>
        <c:axId val="211956968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27386430275391"/>
              <c:y val="0.82270412144427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527176"/>
        <c:crosses val="autoZero"/>
        <c:crossBetween val="midCat"/>
      </c:valAx>
      <c:valAx>
        <c:axId val="21195271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44416167068054E-2"/>
              <c:y val="0.32546546546546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569688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952644041042"/>
          <c:y val="0.10747480087541"/>
          <c:w val="0.75769534333070299"/>
          <c:h val="0.60902387162732197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Regular!$B$40:$O$40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BF6-CB40-81A0-5CFB2D633FFA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Regular!$B$45:$O$45</c:f>
              <c:numCache>
                <c:formatCode>General</c:formatCode>
                <c:ptCount val="14"/>
                <c:pt idx="0">
                  <c:v>0</c:v>
                </c:pt>
                <c:pt idx="1">
                  <c:v>0.12170327389226415</c:v>
                </c:pt>
                <c:pt idx="2">
                  <c:v>0.20945461254557959</c:v>
                </c:pt>
                <c:pt idx="3">
                  <c:v>0.31606815221694556</c:v>
                </c:pt>
                <c:pt idx="4">
                  <c:v>0.4578103374498701</c:v>
                </c:pt>
                <c:pt idx="5">
                  <c:v>0.5838637083648438</c:v>
                </c:pt>
                <c:pt idx="6">
                  <c:v>0.61653194998048066</c:v>
                </c:pt>
                <c:pt idx="7">
                  <c:v>0.69585068800872807</c:v>
                </c:pt>
                <c:pt idx="8">
                  <c:v>0.7134724174738527</c:v>
                </c:pt>
                <c:pt idx="9">
                  <c:v>0.71681038959056209</c:v>
                </c:pt>
                <c:pt idx="10">
                  <c:v>0.74072331548304171</c:v>
                </c:pt>
                <c:pt idx="11">
                  <c:v>0.85950871311427757</c:v>
                </c:pt>
                <c:pt idx="12">
                  <c:v>0.85939512651294026</c:v>
                </c:pt>
                <c:pt idx="13">
                  <c:v>0.99999335545013823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BF6-CB40-81A0-5CFB2D633FFA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BF6-CB40-81A0-5CFB2D633FFA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BF6-CB40-81A0-5CFB2D633F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1642984"/>
        <c:axId val="2121651096"/>
      </c:scatterChart>
      <c:valAx>
        <c:axId val="2121642984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43876148947516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651096"/>
        <c:crosses val="autoZero"/>
        <c:crossBetween val="midCat"/>
      </c:valAx>
      <c:valAx>
        <c:axId val="21216510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6307368949399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642984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11365430149999"/>
          <c:y val="0.120556414219474"/>
          <c:w val="0.77426992896606095"/>
          <c:h val="0.57032457496136002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Regular!$B$56:$O$56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08-9346-9DFA-971248CFD2D3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Regular!$B$61:$O$61</c:f>
              <c:numCache>
                <c:formatCode>General</c:formatCode>
                <c:ptCount val="14"/>
                <c:pt idx="0">
                  <c:v>0</c:v>
                </c:pt>
                <c:pt idx="1">
                  <c:v>0.22972359109167673</c:v>
                </c:pt>
                <c:pt idx="2">
                  <c:v>0.34095794753461306</c:v>
                </c:pt>
                <c:pt idx="3">
                  <c:v>0.44032709152153826</c:v>
                </c:pt>
                <c:pt idx="4">
                  <c:v>0.53102807376922501</c:v>
                </c:pt>
                <c:pt idx="5">
                  <c:v>0.58022038272507581</c:v>
                </c:pt>
                <c:pt idx="6">
                  <c:v>0.58830805428710253</c:v>
                </c:pt>
                <c:pt idx="7">
                  <c:v>0.60574856427327572</c:v>
                </c:pt>
                <c:pt idx="8">
                  <c:v>0.6334876342480783</c:v>
                </c:pt>
                <c:pt idx="9">
                  <c:v>0.66913345201255481</c:v>
                </c:pt>
                <c:pt idx="10">
                  <c:v>0.774548803002859</c:v>
                </c:pt>
                <c:pt idx="11">
                  <c:v>0.91856333050173999</c:v>
                </c:pt>
                <c:pt idx="12">
                  <c:v>0.91847726197584723</c:v>
                </c:pt>
                <c:pt idx="13">
                  <c:v>0.99999335545019952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E08-9346-9DFA-971248CFD2D3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E08-9346-9DFA-971248CFD2D3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E08-9346-9DFA-971248CFD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1692296"/>
        <c:axId val="2121700408"/>
      </c:scatterChart>
      <c:valAx>
        <c:axId val="2121692296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29984740279558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700408"/>
        <c:crosses val="autoZero"/>
        <c:crossBetween val="midCat"/>
      </c:valAx>
      <c:valAx>
        <c:axId val="21217004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312201672465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692296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68949644023301"/>
          <c:y val="5.4158658500304602E-2"/>
          <c:w val="0.74233277082688398"/>
          <c:h val="0.79303749946874602"/>
        </c:manualLayout>
      </c:layout>
      <c:scatterChart>
        <c:scatterStyle val="smoothMarker"/>
        <c:varyColors val="0"/>
        <c:ser>
          <c:idx val="0"/>
          <c:order val="0"/>
          <c:tx>
            <c:v>gamma1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NRTL!$D$8:$D$28</c:f>
              <c:numCache>
                <c:formatCode>General</c:formatCode>
                <c:ptCount val="21"/>
                <c:pt idx="0">
                  <c:v>3.5162213412928449</c:v>
                </c:pt>
                <c:pt idx="1">
                  <c:v>3.1046529659059239</c:v>
                </c:pt>
                <c:pt idx="2">
                  <c:v>2.7603839063313402</c:v>
                </c:pt>
                <c:pt idx="3">
                  <c:v>2.4711096386763343</c:v>
                </c:pt>
                <c:pt idx="4">
                  <c:v>2.2270606035492984</c:v>
                </c:pt>
                <c:pt idx="5">
                  <c:v>2.0204387704530311</c:v>
                </c:pt>
                <c:pt idx="6">
                  <c:v>1.844989098095063</c:v>
                </c:pt>
                <c:pt idx="7">
                  <c:v>1.6956717176001468</c:v>
                </c:pt>
                <c:pt idx="8">
                  <c:v>1.5684098079557436</c:v>
                </c:pt>
                <c:pt idx="9">
                  <c:v>1.4598947180787383</c:v>
                </c:pt>
                <c:pt idx="10">
                  <c:v>1.3674346645894071</c:v>
                </c:pt>
                <c:pt idx="11">
                  <c:v>1.288836819377158</c:v>
                </c:pt>
                <c:pt idx="12">
                  <c:v>1.2223151617814934</c:v>
                </c:pt>
                <c:pt idx="13">
                  <c:v>1.1664183649555311</c:v>
                </c:pt>
                <c:pt idx="14">
                  <c:v>1.1199733985402323</c:v>
                </c:pt>
                <c:pt idx="15">
                  <c:v>1.0820415919629587</c:v>
                </c:pt>
                <c:pt idx="16">
                  <c:v>1.0518847098044506</c:v>
                </c:pt>
                <c:pt idx="17">
                  <c:v>1.0289392124028436</c:v>
                </c:pt>
                <c:pt idx="18">
                  <c:v>1.0127973627769944</c:v>
                </c:pt>
                <c:pt idx="19">
                  <c:v>1.0031942340335018</c:v>
                </c:pt>
                <c:pt idx="2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D8-9640-8890-9168C55A9E0A}"/>
            </c:ext>
          </c:extLst>
        </c:ser>
        <c:ser>
          <c:idx val="1"/>
          <c:order val="1"/>
          <c:tx>
            <c:v>gamma2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NRTL!$E$8:$E$28</c:f>
              <c:numCache>
                <c:formatCode>General</c:formatCode>
                <c:ptCount val="21"/>
                <c:pt idx="0">
                  <c:v>1</c:v>
                </c:pt>
                <c:pt idx="1">
                  <c:v>1.0031942340335018</c:v>
                </c:pt>
                <c:pt idx="2">
                  <c:v>1.0127973627769944</c:v>
                </c:pt>
                <c:pt idx="3">
                  <c:v>1.0289392124028436</c:v>
                </c:pt>
                <c:pt idx="4">
                  <c:v>1.0518847098044506</c:v>
                </c:pt>
                <c:pt idx="5">
                  <c:v>1.0820415919629587</c:v>
                </c:pt>
                <c:pt idx="6">
                  <c:v>1.1199733985402323</c:v>
                </c:pt>
                <c:pt idx="7">
                  <c:v>1.1664183649555311</c:v>
                </c:pt>
                <c:pt idx="8">
                  <c:v>1.2223151617814934</c:v>
                </c:pt>
                <c:pt idx="9">
                  <c:v>1.288836819377158</c:v>
                </c:pt>
                <c:pt idx="10">
                  <c:v>1.3674346645894071</c:v>
                </c:pt>
                <c:pt idx="11">
                  <c:v>1.4598947180787383</c:v>
                </c:pt>
                <c:pt idx="12">
                  <c:v>1.5684098079557436</c:v>
                </c:pt>
                <c:pt idx="13">
                  <c:v>1.6956717176001468</c:v>
                </c:pt>
                <c:pt idx="14">
                  <c:v>1.844989098095063</c:v>
                </c:pt>
                <c:pt idx="15">
                  <c:v>2.0204387704530311</c:v>
                </c:pt>
                <c:pt idx="16">
                  <c:v>2.2270606035492984</c:v>
                </c:pt>
                <c:pt idx="17">
                  <c:v>2.4711096386763343</c:v>
                </c:pt>
                <c:pt idx="18">
                  <c:v>2.7603839063313402</c:v>
                </c:pt>
                <c:pt idx="19">
                  <c:v>3.1046529659059239</c:v>
                </c:pt>
                <c:pt idx="20">
                  <c:v>3.5162213412928449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D8-9640-8890-9168C55A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1746312"/>
        <c:axId val="2121752472"/>
      </c:scatterChart>
      <c:valAx>
        <c:axId val="2121746312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x1</a:t>
                </a:r>
              </a:p>
            </c:rich>
          </c:tx>
          <c:layout>
            <c:manualLayout>
              <c:xMode val="edge"/>
              <c:yMode val="edge"/>
              <c:x val="0.51329345861583497"/>
              <c:y val="0.916828718898012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752472"/>
        <c:crosses val="autoZero"/>
        <c:crossBetween val="midCat"/>
      </c:valAx>
      <c:valAx>
        <c:axId val="21217524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gamma</a:t>
                </a:r>
              </a:p>
            </c:rich>
          </c:tx>
          <c:layout>
            <c:manualLayout>
              <c:xMode val="edge"/>
              <c:yMode val="edge"/>
              <c:x val="3.0674907885408501E-2"/>
              <c:y val="0.3907160363236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746312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2494932449299501"/>
          <c:y val="0.10058036578628"/>
          <c:w val="0.175869471876342"/>
          <c:h val="8.31722255540392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'UNIFAC (VLE)'!$BB$15</c:f>
              <c:strCache>
                <c:ptCount val="1"/>
                <c:pt idx="0">
                  <c:v>DGmix/RT</c:v>
                </c:pt>
              </c:strCache>
            </c:strRef>
          </c:tx>
          <c:spPr>
            <a:ln w="47625">
              <a:noFill/>
            </a:ln>
          </c:spPr>
          <c:xVal>
            <c:numRef>
              <c:f>'UNIFAC (VLE)'!$AZ$16:$AZ$36</c:f>
              <c:numCache>
                <c:formatCode>General</c:formatCode>
                <c:ptCount val="21"/>
                <c:pt idx="0" formatCode="0.00E+00">
                  <c:v>9.9999999999999995E-21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'UNIFAC (VLE)'!$BB$16:$BB$36</c:f>
              <c:numCache>
                <c:formatCode>General</c:formatCode>
                <c:ptCount val="21"/>
                <c:pt idx="0" formatCode="0.00E+00">
                  <c:v>3.4451386802961594</c:v>
                </c:pt>
                <c:pt idx="1">
                  <c:v>3.0743665029354785</c:v>
                </c:pt>
                <c:pt idx="2">
                  <c:v>2.7755418388750956</c:v>
                </c:pt>
                <c:pt idx="3">
                  <c:v>2.5056587904457448</c:v>
                </c:pt>
                <c:pt idx="4">
                  <c:v>2.2557085206987399</c:v>
                </c:pt>
                <c:pt idx="5">
                  <c:v>2.0215188656033112</c:v>
                </c:pt>
                <c:pt idx="6">
                  <c:v>1.8007327741524177</c:v>
                </c:pt>
                <c:pt idx="7">
                  <c:v>1.5918935031578714</c:v>
                </c:pt>
                <c:pt idx="8">
                  <c:v>1.3940715411684392</c:v>
                </c:pt>
                <c:pt idx="9">
                  <c:v>1.2066874604492994</c:v>
                </c:pt>
                <c:pt idx="10">
                  <c:v>1.0294221595881343</c:v>
                </c:pt>
                <c:pt idx="11">
                  <c:v>0.86217359241968317</c:v>
                </c:pt>
                <c:pt idx="12">
                  <c:v>0.7050438051092075</c:v>
                </c:pt>
                <c:pt idx="13">
                  <c:v>0.55835189906902327</c:v>
                </c:pt>
                <c:pt idx="14">
                  <c:v>0.42267730203395437</c:v>
                </c:pt>
                <c:pt idx="15">
                  <c:v>0.29894952545523151</c:v>
                </c:pt>
                <c:pt idx="16">
                  <c:v>0.18862531252104386</c:v>
                </c:pt>
                <c:pt idx="17">
                  <c:v>9.4061714238433014E-2</c:v>
                </c:pt>
                <c:pt idx="18">
                  <c:v>1.9430894638167689E-2</c:v>
                </c:pt>
                <c:pt idx="19">
                  <c:v>-2.6258309331064544E-2</c:v>
                </c:pt>
                <c:pt idx="20">
                  <c:v>-4.2606563179584754E-19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36-454B-9D74-31421FA16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6591272"/>
        <c:axId val="2057154568"/>
      </c:scatterChart>
      <c:valAx>
        <c:axId val="2056591272"/>
        <c:scaling>
          <c:orientation val="minMax"/>
        </c:scaling>
        <c:delete val="0"/>
        <c:axPos val="b"/>
        <c:numFmt formatCode="0.00E+00" sourceLinked="1"/>
        <c:majorTickMark val="out"/>
        <c:minorTickMark val="none"/>
        <c:tickLblPos val="nextTo"/>
        <c:crossAx val="2057154568"/>
        <c:crosses val="autoZero"/>
        <c:crossBetween val="midCat"/>
      </c:valAx>
      <c:valAx>
        <c:axId val="2057154568"/>
        <c:scaling>
          <c:orientation val="minMax"/>
        </c:scaling>
        <c:delete val="0"/>
        <c:axPos val="l"/>
        <c:majorGridlines/>
        <c:numFmt formatCode="0.00E+00" sourceLinked="1"/>
        <c:majorTickMark val="out"/>
        <c:minorTickMark val="none"/>
        <c:tickLblPos val="nextTo"/>
        <c:crossAx val="205659127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148180968209199"/>
          <c:y val="0.10175473463108101"/>
          <c:w val="0.76851990834763495"/>
          <c:h val="0.64912503126723997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LLE!$B$4:$B$24</c:f>
              <c:numCache>
                <c:formatCode>General_)</c:formatCode>
                <c:ptCount val="21"/>
                <c:pt idx="0">
                  <c:v>0</c:v>
                </c:pt>
                <c:pt idx="1">
                  <c:v>-5.8526263184391143E-2</c:v>
                </c:pt>
                <c:pt idx="2">
                  <c:v>-7.3170809828983552E-2</c:v>
                </c:pt>
                <c:pt idx="3">
                  <c:v>-7.9417118711015908E-2</c:v>
                </c:pt>
                <c:pt idx="4">
                  <c:v>-8.1901861537314949E-2</c:v>
                </c:pt>
                <c:pt idx="5">
                  <c:v>-8.2054004240710993E-2</c:v>
                </c:pt>
                <c:pt idx="6">
                  <c:v>-8.044320908797177E-2</c:v>
                </c:pt>
                <c:pt idx="7">
                  <c:v>-7.7358534263080925E-2</c:v>
                </c:pt>
                <c:pt idx="8">
                  <c:v>-7.3001069019793405E-2</c:v>
                </c:pt>
                <c:pt idx="9">
                  <c:v>-6.7561760684280298E-2</c:v>
                </c:pt>
                <c:pt idx="10">
                  <c:v>-6.1259330978385027E-2</c:v>
                </c:pt>
                <c:pt idx="11">
                  <c:v>-5.4363498549103328E-2</c:v>
                </c:pt>
                <c:pt idx="12">
                  <c:v>-4.7213104265483051E-2</c:v>
                </c:pt>
                <c:pt idx="13">
                  <c:v>-4.0232618283381948E-2</c:v>
                </c:pt>
                <c:pt idx="14">
                  <c:v>-3.3946561598639298E-2</c:v>
                </c:pt>
                <c:pt idx="15">
                  <c:v>-2.8985335936918568E-2</c:v>
                </c:pt>
                <c:pt idx="16">
                  <c:v>-2.6060103502693714E-2</c:v>
                </c:pt>
                <c:pt idx="17">
                  <c:v>-2.5832673179705622E-2</c:v>
                </c:pt>
                <c:pt idx="18">
                  <c:v>-2.8400945527763444E-2</c:v>
                </c:pt>
                <c:pt idx="19">
                  <c:v>-3.0971603907365523E-2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C09-5A41-B0B1-A76EFD50E1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2706728"/>
        <c:axId val="-2112699832"/>
      </c:scatterChart>
      <c:valAx>
        <c:axId val="-2112706728"/>
        <c:scaling>
          <c:orientation val="minMax"/>
          <c:max val="1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4629717496033903"/>
              <c:y val="0.8456169820877650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12699832"/>
        <c:crossesAt val="-0.2"/>
        <c:crossBetween val="midCat"/>
        <c:majorUnit val="0.1"/>
        <c:minorUnit val="0.05"/>
      </c:valAx>
      <c:valAx>
        <c:axId val="-21126998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Gm/RT</a:t>
                </a:r>
              </a:p>
            </c:rich>
          </c:tx>
          <c:layout>
            <c:manualLayout>
              <c:xMode val="edge"/>
              <c:yMode val="edge"/>
              <c:x val="2.9629586505013999E-2"/>
              <c:y val="0.329825666528526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12706728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5" l="1.25" r="1.25" t="1.5" header="0.5" footer="0.5"/>
    <c:pageSetup orientation="portrait" blackAndWhite="1" horizontalDpi="300" verticalDpi="300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69641081162799"/>
          <c:y val="9.2356687898089193E-2"/>
          <c:w val="0.79742316525517398"/>
          <c:h val="0.68152866242038301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LLE!$E$4:$E$24</c:f>
              <c:numCache>
                <c:formatCode>General_)</c:formatCode>
                <c:ptCount val="21"/>
                <c:pt idx="0">
                  <c:v>0</c:v>
                </c:pt>
                <c:pt idx="1">
                  <c:v>0.61026432828693755</c:v>
                </c:pt>
                <c:pt idx="2">
                  <c:v>0.78862555732243367</c:v>
                </c:pt>
                <c:pt idx="3">
                  <c:v>0.86296523360381849</c:v>
                </c:pt>
                <c:pt idx="4">
                  <c:v>0.90409027068558112</c:v>
                </c:pt>
                <c:pt idx="5">
                  <c:v>0.93222111721580814</c:v>
                </c:pt>
                <c:pt idx="6">
                  <c:v>0.95403543806710378</c:v>
                </c:pt>
                <c:pt idx="7">
                  <c:v>0.97182309906526598</c:v>
                </c:pt>
                <c:pt idx="8">
                  <c:v>0.98627329929233643</c:v>
                </c:pt>
                <c:pt idx="9">
                  <c:v>0.9974616196302265</c:v>
                </c:pt>
                <c:pt idx="10">
                  <c:v>1.0052471654132611</c:v>
                </c:pt>
                <c:pt idx="11">
                  <c:v>1.0094566380036247</c:v>
                </c:pt>
                <c:pt idx="12">
                  <c:v>1.0099893169647214</c:v>
                </c:pt>
                <c:pt idx="13">
                  <c:v>1.0068981576656892</c:v>
                </c:pt>
                <c:pt idx="14">
                  <c:v>1.0004766312025006</c:v>
                </c:pt>
                <c:pt idx="15">
                  <c:v>0.99137730846246774</c:v>
                </c:pt>
                <c:pt idx="16">
                  <c:v>0.98080075512216336</c:v>
                </c:pt>
                <c:pt idx="17">
                  <c:v>0.97083217607706018</c:v>
                </c:pt>
                <c:pt idx="18">
                  <c:v>0.96510827683892353</c:v>
                </c:pt>
                <c:pt idx="19">
                  <c:v>0.97030549125687682</c:v>
                </c:pt>
                <c:pt idx="20">
                  <c:v>1.0000000000105798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AD9-9D4F-8E4A-B50004579B17}"/>
            </c:ext>
          </c:extLst>
        </c:ser>
        <c:ser>
          <c:idx val="1"/>
          <c:order val="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LLE!$F$4:$F$24</c:f>
              <c:numCache>
                <c:formatCode>General_)</c:formatCode>
                <c:ptCount val="21"/>
                <c:pt idx="0">
                  <c:v>1</c:v>
                </c:pt>
                <c:pt idx="1">
                  <c:v>0.96501291087949437</c:v>
                </c:pt>
                <c:pt idx="2">
                  <c:v>0.94656460885371252</c:v>
                </c:pt>
                <c:pt idx="3">
                  <c:v>0.93479921618924078</c:v>
                </c:pt>
                <c:pt idx="4">
                  <c:v>0.925731715620421</c:v>
                </c:pt>
                <c:pt idx="5">
                  <c:v>0.91758481835481887</c:v>
                </c:pt>
                <c:pt idx="6">
                  <c:v>0.90959787532627634</c:v>
                </c:pt>
                <c:pt idx="7">
                  <c:v>0.90156503535352039</c:v>
                </c:pt>
                <c:pt idx="8">
                  <c:v>0.89363851932014249</c:v>
                </c:pt>
                <c:pt idx="9">
                  <c:v>0.88624657315857669</c:v>
                </c:pt>
                <c:pt idx="10">
                  <c:v>0.88007151394501937</c:v>
                </c:pt>
                <c:pt idx="11">
                  <c:v>0.87606798786653295</c:v>
                </c:pt>
                <c:pt idx="12">
                  <c:v>0.87551552826017787</c:v>
                </c:pt>
                <c:pt idx="13">
                  <c:v>0.88010222044219633</c:v>
                </c:pt>
                <c:pt idx="14">
                  <c:v>0.89201968358586436</c:v>
                </c:pt>
                <c:pt idx="15">
                  <c:v>0.9139667400408561</c:v>
                </c:pt>
                <c:pt idx="16">
                  <c:v>0.94861074163709913</c:v>
                </c:pt>
                <c:pt idx="17">
                  <c:v>0.99553492721594239</c:v>
                </c:pt>
                <c:pt idx="18">
                  <c:v>1.0362675510003589</c:v>
                </c:pt>
                <c:pt idx="19">
                  <c:v>0.95438316928185174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AD9-9D4F-8E4A-B50004579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2648024"/>
        <c:axId val="-2112312776"/>
      </c:scatterChart>
      <c:valAx>
        <c:axId val="-2112648024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3407094831378099"/>
              <c:y val="0.8598725159355079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12312776"/>
        <c:crosses val="autoZero"/>
        <c:crossBetween val="midCat"/>
        <c:majorUnit val="0.1"/>
        <c:minorUnit val="0.05"/>
      </c:valAx>
      <c:valAx>
        <c:axId val="-21123127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Symbol"/>
                  </a:rPr>
                  <a:t>g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</a:p>
            </c:rich>
          </c:tx>
          <c:layout>
            <c:manualLayout>
              <c:xMode val="edge"/>
              <c:yMode val="edge"/>
              <c:x val="2.5782688766114201E-2"/>
              <c:y val="0.38853509977919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12648024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20</xdr:row>
      <xdr:rowOff>133350</xdr:rowOff>
    </xdr:from>
    <xdr:to>
      <xdr:col>22</xdr:col>
      <xdr:colOff>419100</xdr:colOff>
      <xdr:row>31</xdr:row>
      <xdr:rowOff>161925</xdr:rowOff>
    </xdr:to>
    <xdr:graphicFrame macro="">
      <xdr:nvGraphicFramePr>
        <xdr:cNvPr id="4115" name="Chart 7">
          <a:extLst>
            <a:ext uri="{FF2B5EF4-FFF2-40B4-BE49-F238E27FC236}">
              <a16:creationId xmlns:a16="http://schemas.microsoft.com/office/drawing/2014/main" id="{00000000-0008-0000-0200-000013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38</xdr:row>
      <xdr:rowOff>66675</xdr:rowOff>
    </xdr:from>
    <xdr:to>
      <xdr:col>22</xdr:col>
      <xdr:colOff>219075</xdr:colOff>
      <xdr:row>51</xdr:row>
      <xdr:rowOff>57150</xdr:rowOff>
    </xdr:to>
    <xdr:graphicFrame macro="">
      <xdr:nvGraphicFramePr>
        <xdr:cNvPr id="4116" name="Chart 8">
          <a:extLst>
            <a:ext uri="{FF2B5EF4-FFF2-40B4-BE49-F238E27FC236}">
              <a16:creationId xmlns:a16="http://schemas.microsoft.com/office/drawing/2014/main" id="{00000000-0008-0000-02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361950</xdr:colOff>
      <xdr:row>54</xdr:row>
      <xdr:rowOff>161925</xdr:rowOff>
    </xdr:from>
    <xdr:to>
      <xdr:col>22</xdr:col>
      <xdr:colOff>219075</xdr:colOff>
      <xdr:row>65</xdr:row>
      <xdr:rowOff>76200</xdr:rowOff>
    </xdr:to>
    <xdr:graphicFrame macro="">
      <xdr:nvGraphicFramePr>
        <xdr:cNvPr id="4117" name="Chart 9">
          <a:extLst>
            <a:ext uri="{FF2B5EF4-FFF2-40B4-BE49-F238E27FC236}">
              <a16:creationId xmlns:a16="http://schemas.microsoft.com/office/drawing/2014/main" id="{00000000-0008-0000-0200-000015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323850</xdr:colOff>
      <xdr:row>1</xdr:row>
      <xdr:rowOff>66675</xdr:rowOff>
    </xdr:from>
    <xdr:to>
      <xdr:col>15</xdr:col>
      <xdr:colOff>104775</xdr:colOff>
      <xdr:row>30</xdr:row>
      <xdr:rowOff>142875</xdr:rowOff>
    </xdr:to>
    <xdr:graphicFrame macro="">
      <xdr:nvGraphicFramePr>
        <xdr:cNvPr id="19457" name="Chart 1">
          <a:extLst>
            <a:ext uri="{FF2B5EF4-FFF2-40B4-BE49-F238E27FC236}">
              <a16:creationId xmlns:a16="http://schemas.microsoft.com/office/drawing/2014/main" id="{00000000-0008-0000-0300-000001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162560</xdr:colOff>
      <xdr:row>33</xdr:row>
      <xdr:rowOff>121920</xdr:rowOff>
    </xdr:from>
    <xdr:to>
      <xdr:col>57</xdr:col>
      <xdr:colOff>558800</xdr:colOff>
      <xdr:row>49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24</xdr:row>
      <xdr:rowOff>28575</xdr:rowOff>
    </xdr:from>
    <xdr:to>
      <xdr:col>8</xdr:col>
      <xdr:colOff>0</xdr:colOff>
      <xdr:row>41</xdr:row>
      <xdr:rowOff>133350</xdr:rowOff>
    </xdr:to>
    <xdr:graphicFrame macro="">
      <xdr:nvGraphicFramePr>
        <xdr:cNvPr id="16385" name="Chart 1">
          <a:extLst>
            <a:ext uri="{FF2B5EF4-FFF2-40B4-BE49-F238E27FC236}">
              <a16:creationId xmlns:a16="http://schemas.microsoft.com/office/drawing/2014/main" id="{00000000-0008-0000-0D00-000001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9525</xdr:rowOff>
    </xdr:from>
    <xdr:to>
      <xdr:col>8</xdr:col>
      <xdr:colOff>0</xdr:colOff>
      <xdr:row>61</xdr:row>
      <xdr:rowOff>104775</xdr:rowOff>
    </xdr:to>
    <xdr:graphicFrame macro="">
      <xdr:nvGraphicFramePr>
        <xdr:cNvPr id="16386" name="Chart 2">
          <a:extLst>
            <a:ext uri="{FF2B5EF4-FFF2-40B4-BE49-F238E27FC236}">
              <a16:creationId xmlns:a16="http://schemas.microsoft.com/office/drawing/2014/main" id="{00000000-0008-0000-0D00-000002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0.36947</cdr:x>
      <cdr:y>0.31487</cdr:y>
    </cdr:from>
    <cdr:to>
      <cdr:x>0.93711</cdr:x>
      <cdr:y>0.7112</cdr:y>
    </cdr:to>
    <cdr:sp macro="" textlink="">
      <cdr:nvSpPr>
        <cdr:cNvPr id="204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902477" y="855345"/>
          <a:ext cx="2922887" cy="107664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0.22612</cdr:x>
      <cdr:y>0.26399</cdr:y>
    </cdr:from>
    <cdr:to>
      <cdr:x>0.9476</cdr:x>
      <cdr:y>0.26399</cdr:y>
    </cdr:to>
    <cdr:sp macro="" textlink="">
      <cdr:nvSpPr>
        <cdr:cNvPr id="3073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165982" y="792333"/>
          <a:ext cx="372448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0.27251</cdr:x>
      <cdr:y>0.22235</cdr:y>
    </cdr:from>
    <cdr:to>
      <cdr:x>0.96233</cdr:x>
      <cdr:y>0.22235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05041" y="668139"/>
          <a:ext cx="356680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0.44184</cdr:x>
      <cdr:y>0.13254</cdr:y>
    </cdr:from>
    <cdr:to>
      <cdr:x>0.44184</cdr:x>
      <cdr:y>0.38695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2279893" y="399415"/>
          <a:ext cx="0" cy="75823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0.9211</cdr:x>
      <cdr:y>0.11947</cdr:y>
    </cdr:from>
    <cdr:to>
      <cdr:x>0.9211</cdr:x>
      <cdr:y>0.3746</cdr:y>
    </cdr:to>
    <cdr:sp macro="" textlink="">
      <cdr:nvSpPr>
        <cdr:cNvPr id="3076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4754402" y="360196"/>
          <a:ext cx="0" cy="76041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39"/>
  <sheetViews>
    <sheetView showGridLines="0" workbookViewId="0"/>
  </sheetViews>
  <sheetFormatPr baseColWidth="10" defaultColWidth="9.1640625" defaultRowHeight="13"/>
  <cols>
    <col min="1" max="1" width="9.1640625" style="1" customWidth="1"/>
    <col min="2" max="2" width="16.33203125" style="1" customWidth="1"/>
    <col min="3" max="16384" width="9.1640625" style="1"/>
  </cols>
  <sheetData>
    <row r="2" spans="2:3" ht="23">
      <c r="B2" s="2" t="s">
        <v>0</v>
      </c>
    </row>
    <row r="4" spans="2:3">
      <c r="B4" s="1" t="s">
        <v>1</v>
      </c>
    </row>
    <row r="5" spans="2:3">
      <c r="B5" s="1" t="s">
        <v>2</v>
      </c>
    </row>
    <row r="7" spans="2:3">
      <c r="B7" s="1" t="s">
        <v>3</v>
      </c>
      <c r="C7" s="1" t="s">
        <v>4</v>
      </c>
    </row>
    <row r="9" spans="2:3">
      <c r="B9" s="1" t="s">
        <v>5</v>
      </c>
      <c r="C9" s="1" t="s">
        <v>6</v>
      </c>
    </row>
    <row r="10" spans="2:3">
      <c r="C10" s="1" t="s">
        <v>7</v>
      </c>
    </row>
    <row r="12" spans="2:3">
      <c r="B12" s="1" t="s">
        <v>307</v>
      </c>
      <c r="C12" s="1" t="s">
        <v>310</v>
      </c>
    </row>
    <row r="14" spans="2:3">
      <c r="B14" s="1" t="s">
        <v>308</v>
      </c>
      <c r="C14" s="1" t="s">
        <v>309</v>
      </c>
    </row>
    <row r="16" spans="2:3">
      <c r="B16" s="1" t="s">
        <v>8</v>
      </c>
      <c r="C16" s="1" t="s">
        <v>9</v>
      </c>
    </row>
    <row r="18" spans="2:3">
      <c r="B18" s="1" t="s">
        <v>10</v>
      </c>
      <c r="C18" s="1" t="s">
        <v>11</v>
      </c>
    </row>
    <row r="20" spans="2:3">
      <c r="B20" s="1" t="s">
        <v>242</v>
      </c>
      <c r="C20" s="1" t="s">
        <v>243</v>
      </c>
    </row>
    <row r="22" spans="2:3">
      <c r="B22" s="1" t="s">
        <v>12</v>
      </c>
      <c r="C22" s="1" t="s">
        <v>13</v>
      </c>
    </row>
    <row r="23" spans="2:3">
      <c r="C23" s="1" t="s">
        <v>14</v>
      </c>
    </row>
    <row r="25" spans="2:3">
      <c r="B25" s="1" t="s">
        <v>15</v>
      </c>
      <c r="C25" s="1" t="s">
        <v>16</v>
      </c>
    </row>
    <row r="27" spans="2:3">
      <c r="B27" s="1" t="s">
        <v>240</v>
      </c>
      <c r="C27" s="1" t="s">
        <v>241</v>
      </c>
    </row>
    <row r="28" spans="2:3">
      <c r="C28" s="1" t="s">
        <v>17</v>
      </c>
    </row>
    <row r="30" spans="2:3">
      <c r="B30" s="1" t="s">
        <v>18</v>
      </c>
      <c r="C30" s="1" t="s">
        <v>19</v>
      </c>
    </row>
    <row r="32" spans="2:3">
      <c r="B32" s="1" t="s">
        <v>20</v>
      </c>
      <c r="C32" s="1" t="s">
        <v>21</v>
      </c>
    </row>
    <row r="34" spans="2:2">
      <c r="B34" s="1" t="s">
        <v>22</v>
      </c>
    </row>
    <row r="35" spans="2:2">
      <c r="B35" s="1" t="s">
        <v>23</v>
      </c>
    </row>
    <row r="37" spans="2:2">
      <c r="B37" s="1" t="s">
        <v>344</v>
      </c>
    </row>
    <row r="38" spans="2:2">
      <c r="B38" s="1" t="s">
        <v>305</v>
      </c>
    </row>
    <row r="39" spans="2:2">
      <c r="B39" s="1" t="s">
        <v>24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4294967292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A1:AW51"/>
  <sheetViews>
    <sheetView showGridLines="0" tabSelected="1" topLeftCell="A7" zoomScale="131" zoomScaleNormal="131" workbookViewId="0">
      <selection activeCell="C23" sqref="C23"/>
    </sheetView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7">
      <c r="A1" s="144" t="s">
        <v>303</v>
      </c>
      <c r="B1" s="144"/>
      <c r="C1" s="144"/>
    </row>
    <row r="2" spans="1:47">
      <c r="A2" s="144" t="s">
        <v>108</v>
      </c>
      <c r="B2" s="144"/>
      <c r="C2" s="144"/>
    </row>
    <row r="3" spans="1:47">
      <c r="A3" s="144" t="s">
        <v>109</v>
      </c>
      <c r="B3" s="144"/>
      <c r="C3" s="144"/>
    </row>
    <row r="4" spans="1:47">
      <c r="A4" s="144" t="s">
        <v>304</v>
      </c>
      <c r="B4" s="144"/>
      <c r="C4" s="144"/>
    </row>
    <row r="5" spans="1:47">
      <c r="A5" s="144" t="s">
        <v>110</v>
      </c>
      <c r="B5" s="144"/>
      <c r="C5" s="144"/>
    </row>
    <row r="6" spans="1:47">
      <c r="A6" s="144" t="s">
        <v>111</v>
      </c>
      <c r="B6" s="144"/>
      <c r="C6" s="144"/>
    </row>
    <row r="7" spans="1:47">
      <c r="A7" s="144" t="s">
        <v>112</v>
      </c>
      <c r="B7" s="144"/>
      <c r="C7" s="144"/>
    </row>
    <row r="8" spans="1:47">
      <c r="A8" s="144"/>
      <c r="B8" s="144"/>
      <c r="C8" s="144"/>
    </row>
    <row r="9" spans="1:47" s="33" customFormat="1">
      <c r="A9" s="144"/>
      <c r="B9" s="144"/>
      <c r="C9" s="144"/>
      <c r="D9" s="46" t="s">
        <v>113</v>
      </c>
      <c r="E9" s="47" t="s">
        <v>114</v>
      </c>
      <c r="F9" s="47"/>
      <c r="G9" s="49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AD9" s="34"/>
      <c r="AI9" s="34"/>
      <c r="AN9"/>
      <c r="AS9" s="52"/>
    </row>
    <row r="10" spans="1:47">
      <c r="A10" s="144" t="s">
        <v>115</v>
      </c>
      <c r="B10" s="144">
        <f t="array" ref="B10">SUM(B22:F22*B23:F23*B17:F17)</f>
        <v>175.2022131686831</v>
      </c>
      <c r="C10" s="144" t="s">
        <v>116</v>
      </c>
      <c r="D10" s="48" t="s">
        <v>117</v>
      </c>
      <c r="E10" s="49"/>
      <c r="F10" s="49"/>
      <c r="G10" s="49"/>
      <c r="X10" s="35"/>
      <c r="AN10"/>
      <c r="AS10" s="188" t="s">
        <v>118</v>
      </c>
    </row>
    <row r="11" spans="1:47">
      <c r="A11" s="144" t="s">
        <v>178</v>
      </c>
      <c r="B11" s="145">
        <v>37</v>
      </c>
      <c r="C11" s="146" t="s">
        <v>119</v>
      </c>
      <c r="D11" s="50" t="s">
        <v>120</v>
      </c>
      <c r="E11" s="51"/>
      <c r="F11" s="51"/>
      <c r="G11" s="49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7"/>
      <c r="AD11" s="37"/>
      <c r="AI11" s="37"/>
      <c r="AN11"/>
      <c r="AS11" s="189"/>
    </row>
    <row r="12" spans="1:47" s="33" customFormat="1">
      <c r="A12" s="144" t="s">
        <v>121</v>
      </c>
      <c r="B12" s="144"/>
      <c r="C12" s="144"/>
      <c r="D12" s="32"/>
      <c r="E12" s="32"/>
      <c r="F12" s="32"/>
      <c r="G12" s="32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AD12" s="34"/>
      <c r="AI12" s="34"/>
      <c r="AS12" s="5"/>
    </row>
    <row r="13" spans="1:47" s="72" customFormat="1" ht="11">
      <c r="B13" s="36" t="s">
        <v>122</v>
      </c>
      <c r="C13" s="36" t="s">
        <v>123</v>
      </c>
      <c r="D13" s="36" t="s">
        <v>124</v>
      </c>
      <c r="E13" s="36" t="s">
        <v>125</v>
      </c>
      <c r="F13" s="36" t="s">
        <v>126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AS13" s="35"/>
      <c r="AT13" s="72" t="s">
        <v>248</v>
      </c>
    </row>
    <row r="14" spans="1:47" s="72" customFormat="1" ht="11">
      <c r="A14" s="35" t="s">
        <v>127</v>
      </c>
      <c r="B14" s="57">
        <v>8.0713100000000004</v>
      </c>
      <c r="C14" s="57">
        <v>7.280662108153515</v>
      </c>
      <c r="D14" s="73"/>
      <c r="E14" s="57"/>
      <c r="F14" s="73"/>
      <c r="G14" s="74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72" t="s">
        <v>249</v>
      </c>
    </row>
    <row r="15" spans="1:47" s="72" customFormat="1" ht="11">
      <c r="A15" s="35" t="s">
        <v>128</v>
      </c>
      <c r="B15" s="57">
        <v>1730.63</v>
      </c>
      <c r="C15" s="57">
        <v>1434.2010693621778</v>
      </c>
      <c r="D15" s="73"/>
      <c r="E15" s="57"/>
      <c r="F15" s="57"/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 t="s">
        <v>247</v>
      </c>
    </row>
    <row r="16" spans="1:47" s="72" customFormat="1" ht="11">
      <c r="A16" s="35" t="s">
        <v>129</v>
      </c>
      <c r="B16" s="57">
        <v>233.42599999999999</v>
      </c>
      <c r="C16" s="57">
        <v>246.49904574755209</v>
      </c>
      <c r="D16" s="57"/>
      <c r="E16" s="57"/>
      <c r="F16" s="57"/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  <c r="AS16" s="35"/>
      <c r="AT16" s="35" t="s">
        <v>246</v>
      </c>
    </row>
    <row r="17" spans="1:49" s="35" customFormat="1" ht="13">
      <c r="A17" s="35" t="s">
        <v>130</v>
      </c>
      <c r="B17" s="57">
        <f>10^(B14-B15/(B16+TC.))</f>
        <v>46.953338226865689</v>
      </c>
      <c r="C17" s="57">
        <f>10^(C14-C15/(C16+TC.))</f>
        <v>166.62293586268873</v>
      </c>
      <c r="D17" s="57">
        <f>10^(D14-D15/(D16+TC.))</f>
        <v>1</v>
      </c>
      <c r="E17" s="57">
        <f>10^(E14-E15/(E16+TC.))</f>
        <v>1</v>
      </c>
      <c r="F17" s="57">
        <f>10^(F14-F15/(F16+TC.))</f>
        <v>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9" s="35" customFormat="1" ht="11">
      <c r="A18" s="35" t="s">
        <v>131</v>
      </c>
      <c r="B18" s="191">
        <f>B22*B23*B17/$B$10</f>
        <v>0.26879623191117596</v>
      </c>
      <c r="C18" s="191">
        <f>C22*C23*C17/$B$10</f>
        <v>0.73120376808882404</v>
      </c>
      <c r="D18" s="191">
        <f>D22*D23*D17/$B$10</f>
        <v>8.1567981696324553E-23</v>
      </c>
      <c r="E18" s="191">
        <f>E22*E23*E17/$B$10</f>
        <v>5.5947824599978185E-23</v>
      </c>
      <c r="F18" s="191">
        <f>F22*F23*F17/$B$10</f>
        <v>1.2522379731530524E-22</v>
      </c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  <c r="AT18" s="82" t="s">
        <v>238</v>
      </c>
    </row>
    <row r="19" spans="1:49" s="35" customFormat="1" ht="11">
      <c r="B19" s="76"/>
      <c r="C19" s="76"/>
      <c r="D19" s="75"/>
      <c r="E19" s="75"/>
      <c r="F19" s="75"/>
      <c r="G19" s="75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AD19" s="36"/>
      <c r="AI19" s="36"/>
    </row>
    <row r="20" spans="1:49" s="35" customFormat="1" ht="11">
      <c r="B20" s="36">
        <v>1</v>
      </c>
      <c r="C20" s="36">
        <v>2</v>
      </c>
      <c r="D20" s="36">
        <v>3</v>
      </c>
      <c r="E20" s="36" t="s">
        <v>125</v>
      </c>
      <c r="F20" s="36" t="s">
        <v>126</v>
      </c>
      <c r="G20" s="36"/>
      <c r="H20" s="36"/>
      <c r="I20" s="77"/>
      <c r="J20" s="77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AT20" s="35" t="s">
        <v>67</v>
      </c>
    </row>
    <row r="21" spans="1:49" s="72" customFormat="1" ht="13">
      <c r="A21" s="35"/>
      <c r="B21" s="53" t="s">
        <v>81</v>
      </c>
      <c r="C21" s="53" t="s">
        <v>350</v>
      </c>
      <c r="D21" s="53" t="s">
        <v>349</v>
      </c>
      <c r="E21" s="54" t="s">
        <v>132</v>
      </c>
      <c r="F21" s="53" t="s">
        <v>133</v>
      </c>
      <c r="G21" s="78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 s="137"/>
      <c r="AT21" s="35" t="s">
        <v>69</v>
      </c>
    </row>
    <row r="22" spans="1:49" s="72" customFormat="1" ht="15">
      <c r="A22" s="72" t="s">
        <v>85</v>
      </c>
      <c r="B22" s="55">
        <v>0.26400000000000001</v>
      </c>
      <c r="C22" s="55">
        <v>0.73599999999999999</v>
      </c>
      <c r="D22" s="55">
        <v>9.9999999999999995E-21</v>
      </c>
      <c r="E22" s="55">
        <v>9.9999999999999995E-21</v>
      </c>
      <c r="F22" s="55">
        <v>9.9999999999999995E-21</v>
      </c>
      <c r="G22" s="79"/>
      <c r="H22" s="36"/>
      <c r="I22"/>
      <c r="J22"/>
      <c r="K22" s="36" t="s">
        <v>134</v>
      </c>
      <c r="L22" s="36"/>
      <c r="M22"/>
      <c r="N22"/>
      <c r="O22"/>
      <c r="P22"/>
      <c r="Q22" s="80" t="s">
        <v>135</v>
      </c>
      <c r="R22" s="36"/>
      <c r="S22" s="36"/>
      <c r="T22" s="36"/>
      <c r="U22"/>
      <c r="V22" s="35"/>
      <c r="W22" s="81" t="s">
        <v>136</v>
      </c>
      <c r="X22" s="36"/>
      <c r="Y22" s="35"/>
      <c r="Z22" s="35"/>
      <c r="AA22"/>
      <c r="AB22" s="36"/>
      <c r="AC22" s="81" t="s">
        <v>137</v>
      </c>
      <c r="AD22" s="35"/>
      <c r="AE22" s="35"/>
      <c r="AF22" s="35"/>
      <c r="AG22" s="36"/>
      <c r="AH22" s="36"/>
      <c r="AI22" s="81" t="s">
        <v>138</v>
      </c>
      <c r="AJ22" s="35"/>
      <c r="AK22" s="35"/>
      <c r="AM22"/>
      <c r="AO22" s="72" t="s">
        <v>139</v>
      </c>
      <c r="AS22" s="35"/>
      <c r="AT22" s="35" t="s">
        <v>70</v>
      </c>
    </row>
    <row r="23" spans="1:49" s="72" customFormat="1" ht="13">
      <c r="A23" s="82" t="s">
        <v>140</v>
      </c>
      <c r="B23" s="56">
        <f>EXP(B51-B50+B49)</f>
        <v>3.7992018036993658</v>
      </c>
      <c r="C23" s="56">
        <f>EXP(C51-C50+C49)</f>
        <v>1.0446370190179781</v>
      </c>
      <c r="D23" s="56">
        <f>EXP(D51-D50+D49)</f>
        <v>1.4290890916898695</v>
      </c>
      <c r="E23" s="56">
        <f>EXP(E51-E50+E49)</f>
        <v>0.98021826918894706</v>
      </c>
      <c r="F23" s="56">
        <f>EXP(F51-F50+F49)</f>
        <v>2.1939486431028077</v>
      </c>
      <c r="G23" s="82" t="s">
        <v>141</v>
      </c>
      <c r="H23" s="36"/>
      <c r="I23" s="77">
        <v>1</v>
      </c>
      <c r="J23" s="77">
        <v>2</v>
      </c>
      <c r="K23" s="77">
        <v>3</v>
      </c>
      <c r="L23" s="36">
        <v>4</v>
      </c>
      <c r="M23" s="77">
        <v>5</v>
      </c>
      <c r="N23" s="77" t="s">
        <v>142</v>
      </c>
      <c r="O23" s="77">
        <v>1</v>
      </c>
      <c r="P23" s="77">
        <v>2</v>
      </c>
      <c r="Q23" s="77">
        <v>3</v>
      </c>
      <c r="R23" s="36">
        <v>4</v>
      </c>
      <c r="S23" s="77">
        <v>5</v>
      </c>
      <c r="T23" s="77" t="s">
        <v>142</v>
      </c>
      <c r="U23" s="77">
        <v>1</v>
      </c>
      <c r="V23" s="77">
        <v>2</v>
      </c>
      <c r="W23" s="77">
        <v>3</v>
      </c>
      <c r="X23" s="36">
        <v>4</v>
      </c>
      <c r="Y23" s="77">
        <v>5</v>
      </c>
      <c r="Z23" s="77" t="s">
        <v>142</v>
      </c>
      <c r="AA23" s="77">
        <v>1</v>
      </c>
      <c r="AB23" s="77">
        <v>2</v>
      </c>
      <c r="AC23" s="77">
        <v>3</v>
      </c>
      <c r="AD23" s="36">
        <v>4</v>
      </c>
      <c r="AE23" s="77">
        <v>5</v>
      </c>
      <c r="AF23" s="77" t="s">
        <v>142</v>
      </c>
      <c r="AG23" s="77">
        <v>1</v>
      </c>
      <c r="AH23" s="77">
        <v>2</v>
      </c>
      <c r="AI23" s="77">
        <v>3</v>
      </c>
      <c r="AJ23" s="36">
        <v>4</v>
      </c>
      <c r="AK23" s="77">
        <v>5</v>
      </c>
      <c r="AL23" s="77" t="s">
        <v>142</v>
      </c>
      <c r="AM23" s="77">
        <v>1</v>
      </c>
      <c r="AN23" s="77">
        <v>2</v>
      </c>
      <c r="AO23" s="77">
        <v>3</v>
      </c>
      <c r="AP23" s="36">
        <v>4</v>
      </c>
      <c r="AQ23" s="77">
        <v>5</v>
      </c>
      <c r="AR23" s="77" t="s">
        <v>142</v>
      </c>
      <c r="AS23" s="35"/>
      <c r="AT23" s="142"/>
      <c r="AU23" s="72">
        <v>1</v>
      </c>
      <c r="AV23" s="72">
        <v>2</v>
      </c>
      <c r="AW23" s="72">
        <v>3</v>
      </c>
    </row>
    <row r="24" spans="1:49" s="72" customFormat="1" ht="11">
      <c r="A24" s="35" t="str">
        <f>'aij-UNIFAC (LLE)'!B10</f>
        <v>CH3</v>
      </c>
      <c r="B24" s="57"/>
      <c r="C24" s="57">
        <v>1</v>
      </c>
      <c r="D24" s="57">
        <v>1</v>
      </c>
      <c r="E24" s="57">
        <v>1</v>
      </c>
      <c r="F24" s="57">
        <v>2</v>
      </c>
      <c r="G24" s="83">
        <f t="array" ref="G24">SUM(B24:F24*$B$22:$F$22)</f>
        <v>0.73599999999999999</v>
      </c>
      <c r="H24" s="36" t="str">
        <f t="shared" ref="H24:H41" si="0">A24</f>
        <v>CH3</v>
      </c>
      <c r="I24" s="84">
        <f t="shared" ref="I24:M35" si="1">B24/B$43</f>
        <v>0</v>
      </c>
      <c r="J24" s="85">
        <f t="shared" si="1"/>
        <v>0.1111111111111111</v>
      </c>
      <c r="K24" s="85">
        <f t="shared" si="1"/>
        <v>0.1111111111111111</v>
      </c>
      <c r="L24" s="85">
        <f t="shared" si="1"/>
        <v>0.33333333333333331</v>
      </c>
      <c r="M24" s="85">
        <f t="shared" si="1"/>
        <v>0.4</v>
      </c>
      <c r="N24" s="86">
        <f t="shared" ref="N24:N35" si="2">G24/$G$42</f>
        <v>0.10685249709639953</v>
      </c>
      <c r="O24" s="84">
        <f>I24*'aij-UNIFAC (LLE)'!$D10/I$42</f>
        <v>0</v>
      </c>
      <c r="P24" s="85">
        <f>J24*'aij-UNIFAC (LLE)'!$D10/J$42</f>
        <v>0.14550446122168839</v>
      </c>
      <c r="Q24" s="85">
        <f>K24*'aij-UNIFAC (LLE)'!$D10/K$42</f>
        <v>0.15328994938539409</v>
      </c>
      <c r="R24" s="85">
        <f>L24*'aij-UNIFAC (LLE)'!$D10/L$42</f>
        <v>0.32766615146831529</v>
      </c>
      <c r="S24" s="85">
        <f>M24*'aij-UNIFAC (LLE)'!$D10/M$42</f>
        <v>0.51145958986730999</v>
      </c>
      <c r="T24" s="87">
        <f>N24*'aij-UNIFAC (LLE)'!$D10/N$42</f>
        <v>0.13396156435017925</v>
      </c>
      <c r="U24" s="84">
        <f t="array" ref="U24:Z41">MMULT(TRANSPOSE(tauL),O24:T41)</f>
        <v>0.33154824509283004</v>
      </c>
      <c r="V24" s="88">
        <v>0.86556228057111506</v>
      </c>
      <c r="W24" s="85">
        <v>0.59673706010593985</v>
      </c>
      <c r="X24" s="85">
        <v>0.6972553984422174</v>
      </c>
      <c r="Y24" s="88">
        <v>1</v>
      </c>
      <c r="Z24" s="89">
        <v>0.82319884451074044</v>
      </c>
      <c r="AA24" s="90">
        <f t="shared" ref="AA24:AF39" si="3">O24/U24</f>
        <v>0</v>
      </c>
      <c r="AB24" s="91">
        <f t="shared" si="3"/>
        <v>0.16810397644139677</v>
      </c>
      <c r="AC24" s="91">
        <f t="shared" si="3"/>
        <v>0.2568802235245457</v>
      </c>
      <c r="AD24" s="91">
        <f t="shared" si="3"/>
        <v>0.46993705921872397</v>
      </c>
      <c r="AE24" s="91">
        <f t="shared" si="3"/>
        <v>0.51145958986730999</v>
      </c>
      <c r="AF24" s="86">
        <f t="shared" si="3"/>
        <v>0.16273293535755373</v>
      </c>
      <c r="AG24" s="84">
        <f t="array" ref="AG24:AL41">MMULT(tauL,AA24:AF41)</f>
        <v>1.5123276497361903E-2</v>
      </c>
      <c r="AH24" s="85">
        <v>1.0018382918573432</v>
      </c>
      <c r="AI24" s="88">
        <v>1.4159558603175277</v>
      </c>
      <c r="AJ24" s="88">
        <v>0.87850374848467749</v>
      </c>
      <c r="AK24" s="88">
        <v>1</v>
      </c>
      <c r="AL24" s="89">
        <v>0.95216883224491067</v>
      </c>
      <c r="AM24" s="92">
        <f>'aij-UNIFAC (LLE)'!$D10*(1-LN(U24)-AG24)</f>
        <v>1.7713521502292535</v>
      </c>
      <c r="AN24" s="93">
        <f>'aij-UNIFAC (LLE)'!$D10*(1-LN(V24)-AH24)</f>
        <v>0.12087193231517514</v>
      </c>
      <c r="AO24" s="93">
        <f>'aij-UNIFAC (LLE)'!$D10*(1-LN(W24)-AI24)</f>
        <v>8.5073766306484513E-2</v>
      </c>
      <c r="AP24" s="93">
        <f>'aij-UNIFAC (LLE)'!$D10*(1-LN(X24)-AJ24)</f>
        <v>0.40882059778816626</v>
      </c>
      <c r="AQ24" s="93">
        <f>'aij-UNIFAC (LLE)'!$D10*(1-LN(Y24)-AK24)</f>
        <v>0</v>
      </c>
      <c r="AR24" s="94">
        <f>'aij-UNIFAC (LLE)'!$D10*(1-LN(Z24)-AL24)</f>
        <v>0.20554558866109662</v>
      </c>
      <c r="AS24" s="35"/>
      <c r="AT24" s="137" t="s">
        <v>232</v>
      </c>
      <c r="AU24" s="198"/>
      <c r="AV24" s="199"/>
      <c r="AW24" s="198"/>
    </row>
    <row r="25" spans="1:49" s="72" customFormat="1" ht="11">
      <c r="A25" s="35" t="str">
        <f>'aij-UNIFAC (LLE)'!B11</f>
        <v>CH2</v>
      </c>
      <c r="B25" s="57"/>
      <c r="C25" s="57">
        <v>7</v>
      </c>
      <c r="D25" s="57">
        <v>1</v>
      </c>
      <c r="E25" s="57">
        <v>1</v>
      </c>
      <c r="F25" s="57">
        <v>3</v>
      </c>
      <c r="G25" s="83">
        <f t="array" ref="G25">SUM(B25:F25*$B$22:$F$22)</f>
        <v>5.1520000000000001</v>
      </c>
      <c r="H25" s="36" t="str">
        <f t="shared" si="0"/>
        <v>CH2</v>
      </c>
      <c r="I25" s="95">
        <f t="shared" si="1"/>
        <v>0</v>
      </c>
      <c r="J25" s="96">
        <f t="shared" si="1"/>
        <v>0.77777777777777779</v>
      </c>
      <c r="K25" s="96">
        <f t="shared" si="1"/>
        <v>0.1111111111111111</v>
      </c>
      <c r="L25" s="96">
        <f t="shared" si="1"/>
        <v>0.33333333333333331</v>
      </c>
      <c r="M25" s="96">
        <f t="shared" si="1"/>
        <v>0.6</v>
      </c>
      <c r="N25" s="97">
        <f t="shared" si="2"/>
        <v>0.74796747967479682</v>
      </c>
      <c r="O25" s="95">
        <f>I25*'aij-UNIFAC (LLE)'!$D11/I$42</f>
        <v>0</v>
      </c>
      <c r="P25" s="96">
        <f>J25*'aij-UNIFAC (LLE)'!$D11/J$42</f>
        <v>0.64859299931365821</v>
      </c>
      <c r="Q25" s="96">
        <f>K25*'aij-UNIFAC (LLE)'!$D11/K$42</f>
        <v>9.7613882863340579E-2</v>
      </c>
      <c r="R25" s="96">
        <f>L25*'aij-UNIFAC (LLE)'!$D11/L$42</f>
        <v>0.20865533230293665</v>
      </c>
      <c r="S25" s="96">
        <f>M25*'aij-UNIFAC (LLE)'!$D11/M$42</f>
        <v>0.48854041013269001</v>
      </c>
      <c r="T25" s="98">
        <f>N25*'aij-UNIFAC (LLE)'!$D11/N$42</f>
        <v>0.59713999203263879</v>
      </c>
      <c r="U25" s="95">
        <v>0.33154824509283004</v>
      </c>
      <c r="V25" s="99">
        <v>0.86556228057111506</v>
      </c>
      <c r="W25" s="96">
        <v>0.59673706010593985</v>
      </c>
      <c r="X25" s="96">
        <v>0.6972553984422174</v>
      </c>
      <c r="Y25" s="99">
        <v>1</v>
      </c>
      <c r="Z25" s="100">
        <v>0.82319884451074044</v>
      </c>
      <c r="AA25" s="101">
        <f t="shared" si="3"/>
        <v>0</v>
      </c>
      <c r="AB25" s="102">
        <f t="shared" si="3"/>
        <v>0.74933140442037716</v>
      </c>
      <c r="AC25" s="102">
        <f t="shared" si="3"/>
        <v>0.16357938762176261</v>
      </c>
      <c r="AD25" s="102">
        <f t="shared" si="3"/>
        <v>0.29925237261569687</v>
      </c>
      <c r="AE25" s="102">
        <f t="shared" si="3"/>
        <v>0.48854041013269001</v>
      </c>
      <c r="AF25" s="97">
        <f t="shared" si="3"/>
        <v>0.72538973543815244</v>
      </c>
      <c r="AG25" s="95">
        <v>1.5123276497361903E-2</v>
      </c>
      <c r="AH25" s="96">
        <v>1.0018382918573432</v>
      </c>
      <c r="AI25" s="99">
        <v>1.4159558603175277</v>
      </c>
      <c r="AJ25" s="99">
        <v>0.87850374848467749</v>
      </c>
      <c r="AK25" s="99">
        <v>1</v>
      </c>
      <c r="AL25" s="100">
        <v>0.95216883224491067</v>
      </c>
      <c r="AM25" s="103">
        <f>'aij-UNIFAC (LLE)'!$D11*(1-LN(U25)-AG25)</f>
        <v>1.1279836805705152</v>
      </c>
      <c r="AN25" s="104">
        <f>'aij-UNIFAC (LLE)'!$D11*(1-LN(V25)-AH25)</f>
        <v>7.6970334257304929E-2</v>
      </c>
      <c r="AO25" s="104">
        <f>'aij-UNIFAC (LLE)'!$D11*(1-LN(W25)-AI25)</f>
        <v>5.4174332317808542E-2</v>
      </c>
      <c r="AP25" s="104">
        <f>'aij-UNIFAC (LLE)'!$D11*(1-LN(X25)-AJ25)</f>
        <v>0.26033387123303042</v>
      </c>
      <c r="AQ25" s="104">
        <f>'aij-UNIFAC (LLE)'!$D11*(1-LN(Y25)-AK25)</f>
        <v>0</v>
      </c>
      <c r="AR25" s="105">
        <f>'aij-UNIFAC (LLE)'!$D11*(1-LN(Z25)-AL25)</f>
        <v>0.13088987957192474</v>
      </c>
      <c r="AS25" s="35"/>
      <c r="AT25" s="137" t="s">
        <v>233</v>
      </c>
      <c r="AU25" s="198"/>
      <c r="AV25" s="198"/>
      <c r="AW25" s="198"/>
    </row>
    <row r="26" spans="1:49" s="72" customFormat="1" ht="12">
      <c r="A26" s="35" t="str">
        <f>'aij-UNIFAC (LLE)'!B12</f>
        <v>CH</v>
      </c>
      <c r="B26" s="57"/>
      <c r="C26" s="57"/>
      <c r="D26" s="57"/>
      <c r="E26" s="57"/>
      <c r="F26" s="57"/>
      <c r="G26" s="83">
        <f t="array" ref="G26">SUM(B26:F26*$B$22:$F$22)</f>
        <v>0</v>
      </c>
      <c r="H26" s="36" t="str">
        <f t="shared" si="0"/>
        <v>CH</v>
      </c>
      <c r="I26" s="95">
        <f t="shared" si="1"/>
        <v>0</v>
      </c>
      <c r="J26" s="96">
        <f t="shared" si="1"/>
        <v>0</v>
      </c>
      <c r="K26" s="96">
        <f t="shared" si="1"/>
        <v>0</v>
      </c>
      <c r="L26" s="96">
        <f t="shared" si="1"/>
        <v>0</v>
      </c>
      <c r="M26" s="96">
        <f t="shared" si="1"/>
        <v>0</v>
      </c>
      <c r="N26" s="97">
        <f t="shared" si="2"/>
        <v>0</v>
      </c>
      <c r="O26" s="95">
        <f>I26*'aij-UNIFAC (LLE)'!$D12/I$42</f>
        <v>0</v>
      </c>
      <c r="P26" s="96">
        <f>J26*'aij-UNIFAC (LLE)'!$D12/J$42</f>
        <v>0</v>
      </c>
      <c r="Q26" s="96">
        <f>K26*'aij-UNIFAC (LLE)'!$D12/K$42</f>
        <v>0</v>
      </c>
      <c r="R26" s="96">
        <f>L26*'aij-UNIFAC (LLE)'!$D12/L$42</f>
        <v>0</v>
      </c>
      <c r="S26" s="96">
        <f>M26*'aij-UNIFAC (LLE)'!$D12/M$42</f>
        <v>0</v>
      </c>
      <c r="T26" s="98">
        <f>N26*'aij-UNIFAC (LLE)'!$D12/N$42</f>
        <v>0</v>
      </c>
      <c r="U26" s="95">
        <v>0.33154824509283004</v>
      </c>
      <c r="V26" s="99">
        <v>0.86556228057111506</v>
      </c>
      <c r="W26" s="99">
        <v>0.59673706010593985</v>
      </c>
      <c r="X26" s="99">
        <v>0.6972553984422174</v>
      </c>
      <c r="Y26" s="99">
        <v>1</v>
      </c>
      <c r="Z26" s="100">
        <v>0.82319884451074044</v>
      </c>
      <c r="AA26" s="101">
        <f t="shared" si="3"/>
        <v>0</v>
      </c>
      <c r="AB26" s="102">
        <f t="shared" si="3"/>
        <v>0</v>
      </c>
      <c r="AC26" s="102">
        <f t="shared" si="3"/>
        <v>0</v>
      </c>
      <c r="AD26" s="102">
        <f t="shared" si="3"/>
        <v>0</v>
      </c>
      <c r="AE26" s="102">
        <f t="shared" si="3"/>
        <v>0</v>
      </c>
      <c r="AF26" s="97">
        <f t="shared" si="3"/>
        <v>0</v>
      </c>
      <c r="AG26" s="106">
        <v>1.5123276497361903E-2</v>
      </c>
      <c r="AH26" s="99">
        <v>1.0018382918573432</v>
      </c>
      <c r="AI26" s="99">
        <v>1.4159558603175277</v>
      </c>
      <c r="AJ26" s="99">
        <v>0.87850374848467749</v>
      </c>
      <c r="AK26" s="99">
        <v>1</v>
      </c>
      <c r="AL26" s="100">
        <v>0.95216883224491067</v>
      </c>
      <c r="AM26" s="103">
        <f>'aij-UNIFAC (LLE)'!$D12*(1-LN(U26)-AG26)</f>
        <v>0.47625977624088423</v>
      </c>
      <c r="AN26" s="104">
        <f>'aij-UNIFAC (LLE)'!$D12*(1-LN(V26)-AH26)</f>
        <v>3.2498585575306528E-2</v>
      </c>
      <c r="AO26" s="104">
        <f>'aij-UNIFAC (LLE)'!$D12*(1-LN(W26)-AI26)</f>
        <v>2.2873606978630272E-2</v>
      </c>
      <c r="AP26" s="104">
        <f>'aij-UNIFAC (LLE)'!$D12*(1-LN(X26)-AJ26)</f>
        <v>0.10991874563172395</v>
      </c>
      <c r="AQ26" s="104">
        <f>'aij-UNIFAC (LLE)'!$D12*(1-LN(Y26)-AK26)</f>
        <v>0</v>
      </c>
      <c r="AR26" s="105">
        <f>'aij-UNIFAC (LLE)'!$D12*(1-LN(Z26)-AL26)</f>
        <v>5.5264615819257117E-2</v>
      </c>
      <c r="AS26" s="35"/>
      <c r="AT26" s="190" t="s">
        <v>234</v>
      </c>
      <c r="AU26" s="198"/>
      <c r="AV26" s="198"/>
      <c r="AW26" s="198"/>
    </row>
    <row r="27" spans="1:49" s="72" customFormat="1" ht="12">
      <c r="A27" s="35" t="str">
        <f>'aij-UNIFAC (LLE)'!B13</f>
        <v>ACH</v>
      </c>
      <c r="B27" s="57"/>
      <c r="C27" s="57"/>
      <c r="D27" s="57">
        <v>4</v>
      </c>
      <c r="E27" s="57"/>
      <c r="F27" s="57"/>
      <c r="G27" s="83">
        <f t="array" ref="G27">SUM(B27:F27*$B$22:$F$22)</f>
        <v>3.9999999999999998E-20</v>
      </c>
      <c r="H27" s="36" t="str">
        <f t="shared" si="0"/>
        <v>ACH</v>
      </c>
      <c r="I27" s="95">
        <f t="shared" si="1"/>
        <v>0</v>
      </c>
      <c r="J27" s="96">
        <f t="shared" si="1"/>
        <v>0</v>
      </c>
      <c r="K27" s="96">
        <f t="shared" si="1"/>
        <v>0.44444444444444442</v>
      </c>
      <c r="L27" s="96">
        <f t="shared" si="1"/>
        <v>0</v>
      </c>
      <c r="M27" s="96">
        <f t="shared" si="1"/>
        <v>0</v>
      </c>
      <c r="N27" s="97">
        <f t="shared" si="2"/>
        <v>5.8072009291521481E-21</v>
      </c>
      <c r="O27" s="95">
        <f>I27*'aij-UNIFAC (LLE)'!$D13/I$42</f>
        <v>0</v>
      </c>
      <c r="P27" s="96">
        <f>J27*'aij-UNIFAC (LLE)'!$D13/J$42</f>
        <v>0</v>
      </c>
      <c r="Q27" s="96">
        <f>K27*'aij-UNIFAC (LLE)'!$D13/K$42</f>
        <v>0.28922631959508321</v>
      </c>
      <c r="R27" s="96">
        <f>L27*'aij-UNIFAC (LLE)'!$D13/L$42</f>
        <v>0</v>
      </c>
      <c r="S27" s="96">
        <f>M27*'aij-UNIFAC (LLE)'!$D13/M$42</f>
        <v>0</v>
      </c>
      <c r="T27" s="98">
        <f>N27*'aij-UNIFAC (LLE)'!$D13/N$42</f>
        <v>3.4342074536038568E-21</v>
      </c>
      <c r="U27" s="95">
        <v>0.30059271623075817</v>
      </c>
      <c r="V27" s="96">
        <v>1.3619159102289369</v>
      </c>
      <c r="W27" s="96">
        <v>1.2090246634046093</v>
      </c>
      <c r="X27" s="99">
        <v>1.2542166591857182</v>
      </c>
      <c r="Y27" s="99">
        <v>1.4479423490251866</v>
      </c>
      <c r="Z27" s="100">
        <v>1.277720937285828</v>
      </c>
      <c r="AA27" s="101">
        <f t="shared" si="3"/>
        <v>0</v>
      </c>
      <c r="AB27" s="102">
        <f t="shared" si="3"/>
        <v>0</v>
      </c>
      <c r="AC27" s="102">
        <f t="shared" si="3"/>
        <v>0.23922284495059257</v>
      </c>
      <c r="AD27" s="102">
        <f t="shared" si="3"/>
        <v>0</v>
      </c>
      <c r="AE27" s="102">
        <f t="shared" si="3"/>
        <v>0</v>
      </c>
      <c r="AF27" s="97">
        <f t="shared" si="3"/>
        <v>2.6877601778201274E-21</v>
      </c>
      <c r="AG27" s="95">
        <v>6.2604551360382676E-2</v>
      </c>
      <c r="AH27" s="99">
        <v>0.62361610483231633</v>
      </c>
      <c r="AI27" s="99">
        <v>0.74102396077339061</v>
      </c>
      <c r="AJ27" s="99">
        <v>0.55468861982491169</v>
      </c>
      <c r="AK27" s="99">
        <v>0.60375031575629512</v>
      </c>
      <c r="AL27" s="100">
        <v>0.60420987755280875</v>
      </c>
      <c r="AM27" s="103">
        <f>'aij-UNIFAC (LLE)'!$D13*(1-LN(U27)-AG27)</f>
        <v>0.85575779254628714</v>
      </c>
      <c r="AN27" s="104">
        <f>'aij-UNIFAC (LLE)'!$D13*(1-LN(V27)-AH27)</f>
        <v>2.6996571706546926E-2</v>
      </c>
      <c r="AO27" s="104">
        <f>'aij-UNIFAC (LLE)'!$D13*(1-LN(W27)-AI27)</f>
        <v>2.7664827185456445E-2</v>
      </c>
      <c r="AP27" s="104">
        <f>'aij-UNIFAC (LLE)'!$D13*(1-LN(X27)-AJ27)</f>
        <v>8.7520071367151786E-2</v>
      </c>
      <c r="AQ27" s="104">
        <f>'aij-UNIFAC (LLE)'!$D13*(1-LN(Y27)-AK27)</f>
        <v>1.0442482112764884E-2</v>
      </c>
      <c r="AR27" s="105">
        <f>'aij-UNIFAC (LLE)'!$D13*(1-LN(Z27)-AL27)</f>
        <v>6.0284859706763075E-2</v>
      </c>
      <c r="AS27" s="35"/>
      <c r="AT27" s="190" t="s">
        <v>235</v>
      </c>
      <c r="AU27" s="198"/>
      <c r="AV27" s="198"/>
      <c r="AW27" s="195"/>
    </row>
    <row r="28" spans="1:49" s="72" customFormat="1" ht="12">
      <c r="A28" s="35" t="str">
        <f>'aij-UNIFAC (LLE)'!B14</f>
        <v>ACCH2</v>
      </c>
      <c r="B28" s="57"/>
      <c r="C28" s="57"/>
      <c r="D28" s="57">
        <v>2</v>
      </c>
      <c r="E28" s="57"/>
      <c r="F28" s="57"/>
      <c r="G28" s="83">
        <f t="array" ref="G28">SUM(B28:F28*$B$22:$F$22)</f>
        <v>1.9999999999999999E-20</v>
      </c>
      <c r="H28" s="36" t="str">
        <f t="shared" si="0"/>
        <v>ACCH2</v>
      </c>
      <c r="I28" s="95">
        <f t="shared" si="1"/>
        <v>0</v>
      </c>
      <c r="J28" s="96">
        <f t="shared" si="1"/>
        <v>0</v>
      </c>
      <c r="K28" s="96">
        <f t="shared" si="1"/>
        <v>0.22222222222222221</v>
      </c>
      <c r="L28" s="96">
        <f t="shared" si="1"/>
        <v>0</v>
      </c>
      <c r="M28" s="96">
        <f t="shared" si="1"/>
        <v>0</v>
      </c>
      <c r="N28" s="97">
        <f t="shared" si="2"/>
        <v>2.903600464576074E-21</v>
      </c>
      <c r="O28" s="95">
        <f>I28*'aij-UNIFAC (LLE)'!$D14/I$42</f>
        <v>0</v>
      </c>
      <c r="P28" s="96">
        <f>J28*'aij-UNIFAC (LLE)'!$D14/J$42</f>
        <v>0</v>
      </c>
      <c r="Q28" s="96">
        <f>K28*'aij-UNIFAC (LLE)'!$D14/K$42</f>
        <v>0.23861171366594364</v>
      </c>
      <c r="R28" s="96">
        <f>L28*'aij-UNIFAC (LLE)'!$D14/L$42</f>
        <v>0</v>
      </c>
      <c r="S28" s="96">
        <f>M28*'aij-UNIFAC (LLE)'!$D14/M$42</f>
        <v>0</v>
      </c>
      <c r="T28" s="98">
        <f>N28*'aij-UNIFAC (LLE)'!$D14/N$42</f>
        <v>2.8332211492231818E-21</v>
      </c>
      <c r="U28" s="95">
        <v>0.51851880809831086</v>
      </c>
      <c r="V28" s="96">
        <v>1.3582098590444069</v>
      </c>
      <c r="W28" s="96">
        <v>0.90937602643951221</v>
      </c>
      <c r="X28" s="99">
        <v>1.2406030387143274</v>
      </c>
      <c r="Y28" s="99">
        <v>1.4521501217031245</v>
      </c>
      <c r="Z28" s="100">
        <v>1.2915970066024971</v>
      </c>
      <c r="AA28" s="101">
        <f t="shared" si="3"/>
        <v>0</v>
      </c>
      <c r="AB28" s="102">
        <f t="shared" si="3"/>
        <v>0</v>
      </c>
      <c r="AC28" s="102">
        <f t="shared" si="3"/>
        <v>0.26239059171175</v>
      </c>
      <c r="AD28" s="102">
        <f t="shared" si="3"/>
        <v>0</v>
      </c>
      <c r="AE28" s="102">
        <f t="shared" si="3"/>
        <v>0</v>
      </c>
      <c r="AF28" s="97">
        <f t="shared" si="3"/>
        <v>2.1935798354595724E-21</v>
      </c>
      <c r="AG28" s="95">
        <v>1.060348768424003E-8</v>
      </c>
      <c r="AH28" s="99">
        <v>0.65522154168606561</v>
      </c>
      <c r="AI28" s="99">
        <v>1.0875163044327103</v>
      </c>
      <c r="AJ28" s="99">
        <v>0.5493468030958214</v>
      </c>
      <c r="AK28" s="99">
        <v>0.7141863779913058</v>
      </c>
      <c r="AL28" s="100">
        <v>0.63428630777584583</v>
      </c>
      <c r="AM28" s="103">
        <f>'aij-UNIFAC (LLE)'!$D14*(1-LN(U28)-AG28)</f>
        <v>1.0934741184248806</v>
      </c>
      <c r="AN28" s="104">
        <f>'aij-UNIFAC (LLE)'!$D14*(1-LN(V28)-AH28)</f>
        <v>2.5483197787076171E-2</v>
      </c>
      <c r="AO28" s="104">
        <f>'aij-UNIFAC (LLE)'!$D14*(1-LN(W28)-AI28)</f>
        <v>4.9369950032510344E-3</v>
      </c>
      <c r="AP28" s="104">
        <f>'aij-UNIFAC (LLE)'!$D14*(1-LN(X28)-AJ28)</f>
        <v>0.15513670521321515</v>
      </c>
      <c r="AQ28" s="104">
        <f>'aij-UNIFAC (LLE)'!$D14*(1-LN(Y28)-AK28)</f>
        <v>-5.7572907910502451E-2</v>
      </c>
      <c r="AR28" s="105">
        <f>'aij-UNIFAC (LLE)'!$D14*(1-LN(Z28)-AL28)</f>
        <v>7.2490604942915718E-2</v>
      </c>
      <c r="AS28" s="35"/>
      <c r="AT28" s="190" t="s">
        <v>236</v>
      </c>
      <c r="AU28" s="198"/>
      <c r="AV28" s="198"/>
      <c r="AW28" s="198"/>
    </row>
    <row r="29" spans="1:49" s="72" customFormat="1" ht="12">
      <c r="A29" s="35" t="str">
        <f>'aij-UNIFAC (LLE)'!B15</f>
        <v>ACCH3</v>
      </c>
      <c r="B29" s="57"/>
      <c r="C29" s="57"/>
      <c r="D29" s="57"/>
      <c r="E29" s="57"/>
      <c r="F29" s="57"/>
      <c r="G29" s="83">
        <f t="array" ref="G29">SUM(B29:F29*$B$22:$F$22)</f>
        <v>0</v>
      </c>
      <c r="H29" s="36" t="str">
        <f t="shared" si="0"/>
        <v>ACCH3</v>
      </c>
      <c r="I29" s="95">
        <f t="shared" si="1"/>
        <v>0</v>
      </c>
      <c r="J29" s="96">
        <f t="shared" si="1"/>
        <v>0</v>
      </c>
      <c r="K29" s="96">
        <f t="shared" si="1"/>
        <v>0</v>
      </c>
      <c r="L29" s="96">
        <f t="shared" si="1"/>
        <v>0</v>
      </c>
      <c r="M29" s="96">
        <f t="shared" si="1"/>
        <v>0</v>
      </c>
      <c r="N29" s="97">
        <f t="shared" si="2"/>
        <v>0</v>
      </c>
      <c r="O29" s="95">
        <f>I29*'aij-UNIFAC (LLE)'!$D15/I$42</f>
        <v>0</v>
      </c>
      <c r="P29" s="96">
        <f>J29*'aij-UNIFAC (LLE)'!$D15/J$42</f>
        <v>0</v>
      </c>
      <c r="Q29" s="96">
        <f>K29*'aij-UNIFAC (LLE)'!$D15/K$42</f>
        <v>0</v>
      </c>
      <c r="R29" s="96">
        <f>L29*'aij-UNIFAC (LLE)'!$D15/L$42</f>
        <v>0</v>
      </c>
      <c r="S29" s="96">
        <f>M29*'aij-UNIFAC (LLE)'!$D15/M$42</f>
        <v>0</v>
      </c>
      <c r="T29" s="98">
        <f>N29*'aij-UNIFAC (LLE)'!$D15/N$42</f>
        <v>0</v>
      </c>
      <c r="U29" s="95">
        <v>0.51851880809831086</v>
      </c>
      <c r="V29" s="96">
        <v>1.3582098590444069</v>
      </c>
      <c r="W29" s="96">
        <v>0.90937602643951221</v>
      </c>
      <c r="X29" s="99">
        <v>1.2406030387143274</v>
      </c>
      <c r="Y29" s="99">
        <v>1.4521501217031245</v>
      </c>
      <c r="Z29" s="100">
        <v>1.2915970066024971</v>
      </c>
      <c r="AA29" s="101">
        <f t="shared" si="3"/>
        <v>0</v>
      </c>
      <c r="AB29" s="102">
        <f t="shared" si="3"/>
        <v>0</v>
      </c>
      <c r="AC29" s="102">
        <f t="shared" si="3"/>
        <v>0</v>
      </c>
      <c r="AD29" s="102">
        <f t="shared" si="3"/>
        <v>0</v>
      </c>
      <c r="AE29" s="102">
        <f t="shared" si="3"/>
        <v>0</v>
      </c>
      <c r="AF29" s="97">
        <f t="shared" si="3"/>
        <v>0</v>
      </c>
      <c r="AG29" s="95">
        <v>1.060348768424003E-8</v>
      </c>
      <c r="AH29" s="99">
        <v>0.65522154168606561</v>
      </c>
      <c r="AI29" s="99">
        <v>1.0875163044327103</v>
      </c>
      <c r="AJ29" s="99">
        <v>0.5493468030958214</v>
      </c>
      <c r="AK29" s="99">
        <v>0.7141863779913058</v>
      </c>
      <c r="AL29" s="100">
        <v>0.63428630777584583</v>
      </c>
      <c r="AM29" s="103">
        <f>'aij-UNIFAC (LLE)'!$D15*(1-LN(U29)-AG29)</f>
        <v>1.6037620403564914</v>
      </c>
      <c r="AN29" s="104">
        <f>'aij-UNIFAC (LLE)'!$D15*(1-LN(V29)-AH29)</f>
        <v>3.7375356754378378E-2</v>
      </c>
      <c r="AO29" s="104">
        <f>'aij-UNIFAC (LLE)'!$D15*(1-LN(W29)-AI29)</f>
        <v>7.2409260047681841E-3</v>
      </c>
      <c r="AP29" s="104">
        <f>'aij-UNIFAC (LLE)'!$D15*(1-LN(X29)-AJ29)</f>
        <v>0.22753383431271554</v>
      </c>
      <c r="AQ29" s="104">
        <f>'aij-UNIFAC (LLE)'!$D15*(1-LN(Y29)-AK29)</f>
        <v>-8.4440264935403589E-2</v>
      </c>
      <c r="AR29" s="105">
        <f>'aij-UNIFAC (LLE)'!$D15*(1-LN(Z29)-AL29)</f>
        <v>0.10631955391627637</v>
      </c>
      <c r="AS29" s="35"/>
      <c r="AT29" s="190" t="s">
        <v>237</v>
      </c>
      <c r="AU29" s="198"/>
      <c r="AV29" s="198"/>
      <c r="AW29" s="198"/>
    </row>
    <row r="30" spans="1:49" s="72" customFormat="1" ht="11">
      <c r="A30" s="35" t="str">
        <f>'aij-UNIFAC (LLE)'!B16</f>
        <v>OH</v>
      </c>
      <c r="B30" s="57"/>
      <c r="C30" s="57">
        <v>1</v>
      </c>
      <c r="D30" s="57"/>
      <c r="E30" s="57">
        <v>1</v>
      </c>
      <c r="F30" s="57"/>
      <c r="G30" s="83">
        <f t="array" ref="G30">SUM(B30:F30*$B$22:$F$22)</f>
        <v>0.73599999999999999</v>
      </c>
      <c r="H30" s="36" t="str">
        <f t="shared" si="0"/>
        <v>OH</v>
      </c>
      <c r="I30" s="95">
        <f t="shared" si="1"/>
        <v>0</v>
      </c>
      <c r="J30" s="96">
        <f t="shared" si="1"/>
        <v>0.1111111111111111</v>
      </c>
      <c r="K30" s="96">
        <f t="shared" si="1"/>
        <v>0</v>
      </c>
      <c r="L30" s="96">
        <f t="shared" si="1"/>
        <v>0.33333333333333331</v>
      </c>
      <c r="M30" s="96">
        <f t="shared" si="1"/>
        <v>0</v>
      </c>
      <c r="N30" s="97">
        <f t="shared" si="2"/>
        <v>0.10685249709639953</v>
      </c>
      <c r="O30" s="95">
        <f>I30*'aij-UNIFAC (LLE)'!$D16/I$42</f>
        <v>0</v>
      </c>
      <c r="P30" s="96">
        <f>J30*'aij-UNIFAC (LLE)'!$D16/J$42</f>
        <v>0.20590253946465339</v>
      </c>
      <c r="Q30" s="96">
        <f>K30*'aij-UNIFAC (LLE)'!$D16/K$42</f>
        <v>0</v>
      </c>
      <c r="R30" s="96">
        <f>L30*'aij-UNIFAC (LLE)'!$D16/L$42</f>
        <v>0.46367851622874806</v>
      </c>
      <c r="S30" s="96">
        <f>M30*'aij-UNIFAC (LLE)'!$D16/M$42</f>
        <v>0</v>
      </c>
      <c r="T30" s="98">
        <f>N30*'aij-UNIFAC (LLE)'!$D16/N$42</f>
        <v>0.18956825143893288</v>
      </c>
      <c r="U30" s="95">
        <v>1.4838614102848047</v>
      </c>
      <c r="V30" s="96">
        <v>0.3052732108960538</v>
      </c>
      <c r="W30" s="96">
        <v>0.21233721915856707</v>
      </c>
      <c r="X30" s="99">
        <v>0.53079197344784723</v>
      </c>
      <c r="Y30" s="99">
        <v>0.12513661907999171</v>
      </c>
      <c r="Z30" s="100">
        <v>0.39877083925257995</v>
      </c>
      <c r="AA30" s="101">
        <f t="shared" si="3"/>
        <v>0</v>
      </c>
      <c r="AB30" s="102">
        <f t="shared" si="3"/>
        <v>0.6744861065937543</v>
      </c>
      <c r="AC30" s="102">
        <f t="shared" si="3"/>
        <v>0</v>
      </c>
      <c r="AD30" s="102">
        <f t="shared" si="3"/>
        <v>0.87355977374120297</v>
      </c>
      <c r="AE30" s="102">
        <f t="shared" si="3"/>
        <v>0</v>
      </c>
      <c r="AF30" s="97">
        <f t="shared" si="3"/>
        <v>0.4753814290790232</v>
      </c>
      <c r="AG30" s="95">
        <v>0.91152833690909107</v>
      </c>
      <c r="AH30" s="99">
        <v>0.99291032107017929</v>
      </c>
      <c r="AI30" s="99">
        <v>1.241307652459732</v>
      </c>
      <c r="AJ30" s="99">
        <v>1.1405306642527229</v>
      </c>
      <c r="AK30" s="99">
        <v>0.34708080930704882</v>
      </c>
      <c r="AL30" s="100">
        <v>1.0583893755587552</v>
      </c>
      <c r="AM30" s="103">
        <f>'aij-UNIFAC (LLE)'!$D16*(1-LN(U30)-AG30)</f>
        <v>-0.36741130559672908</v>
      </c>
      <c r="AN30" s="104">
        <f>'aij-UNIFAC (LLE)'!$D16*(1-LN(V30)-AH30)</f>
        <v>1.4323653706085382</v>
      </c>
      <c r="AO30" s="104">
        <f>'aij-UNIFAC (LLE)'!$D16*(1-LN(W30)-AI30)</f>
        <v>1.5699263510352088</v>
      </c>
      <c r="AP30" s="104">
        <f>'aij-UNIFAC (LLE)'!$D16*(1-LN(X30)-AJ30)</f>
        <v>0.59142532079837096</v>
      </c>
      <c r="AQ30" s="104">
        <f>'aij-UNIFAC (LLE)'!$D16*(1-LN(Y30)-AK30)</f>
        <v>3.2775220518849029</v>
      </c>
      <c r="AR30" s="105">
        <f>'aij-UNIFAC (LLE)'!$D16*(1-LN(Z30)-AL30)</f>
        <v>1.0331747870897197</v>
      </c>
      <c r="AS30" s="35"/>
      <c r="AT30" s="35"/>
    </row>
    <row r="31" spans="1:49" s="72" customFormat="1" ht="11">
      <c r="A31" s="35" t="str">
        <f>'aij-UNIFAC (LLE)'!B17</f>
        <v>2-Propanol</v>
      </c>
      <c r="B31" s="57"/>
      <c r="C31" s="57"/>
      <c r="D31" s="57"/>
      <c r="E31" s="57"/>
      <c r="F31" s="57"/>
      <c r="G31" s="83">
        <f t="array" ref="G31">SUM(B31:F31*$B$22:$F$22)</f>
        <v>0</v>
      </c>
      <c r="H31" s="36" t="str">
        <f t="shared" si="0"/>
        <v>2-Propanol</v>
      </c>
      <c r="I31" s="95">
        <f t="shared" si="1"/>
        <v>0</v>
      </c>
      <c r="J31" s="96">
        <f t="shared" si="1"/>
        <v>0</v>
      </c>
      <c r="K31" s="96">
        <f t="shared" si="1"/>
        <v>0</v>
      </c>
      <c r="L31" s="96">
        <f t="shared" si="1"/>
        <v>0</v>
      </c>
      <c r="M31" s="96">
        <f t="shared" si="1"/>
        <v>0</v>
      </c>
      <c r="N31" s="97">
        <f t="shared" si="2"/>
        <v>0</v>
      </c>
      <c r="O31" s="95">
        <f>I31*'aij-UNIFAC (LLE)'!$D17/I$42</f>
        <v>0</v>
      </c>
      <c r="P31" s="96">
        <f>J31*'aij-UNIFAC (LLE)'!$D17/J$42</f>
        <v>0</v>
      </c>
      <c r="Q31" s="96">
        <f>K31*'aij-UNIFAC (LLE)'!$D17/K$42</f>
        <v>0</v>
      </c>
      <c r="R31" s="96">
        <f>L31*'aij-UNIFAC (LLE)'!$D17/L$42</f>
        <v>0</v>
      </c>
      <c r="S31" s="96">
        <f>M31*'aij-UNIFAC (LLE)'!$D17/M$42</f>
        <v>0</v>
      </c>
      <c r="T31" s="98">
        <f>N31*'aij-UNIFAC (LLE)'!$D17/N$42</f>
        <v>0</v>
      </c>
      <c r="U31" s="95">
        <v>0.71303594915200408</v>
      </c>
      <c r="V31" s="96">
        <v>0.30003957520074565</v>
      </c>
      <c r="W31" s="96">
        <v>0.22171348784862371</v>
      </c>
      <c r="X31" s="99">
        <v>0.21592468026263992</v>
      </c>
      <c r="Y31" s="99">
        <v>0.36722764560192395</v>
      </c>
      <c r="Z31" s="100">
        <v>0.33280265691521904</v>
      </c>
      <c r="AA31" s="101">
        <f t="shared" si="3"/>
        <v>0</v>
      </c>
      <c r="AB31" s="102">
        <f t="shared" si="3"/>
        <v>0</v>
      </c>
      <c r="AC31" s="102">
        <f t="shared" si="3"/>
        <v>0</v>
      </c>
      <c r="AD31" s="102">
        <f t="shared" si="3"/>
        <v>0</v>
      </c>
      <c r="AE31" s="102">
        <f t="shared" si="3"/>
        <v>0</v>
      </c>
      <c r="AF31" s="97">
        <f t="shared" si="3"/>
        <v>0</v>
      </c>
      <c r="AG31" s="95">
        <v>0.98118837844151774</v>
      </c>
      <c r="AH31" s="99">
        <v>3.0082885962026307</v>
      </c>
      <c r="AI31" s="99">
        <v>2.3229652823318809</v>
      </c>
      <c r="AJ31" s="99">
        <v>3.2550648652510858</v>
      </c>
      <c r="AK31" s="99">
        <v>1.5300158445200371</v>
      </c>
      <c r="AL31" s="100">
        <v>2.7855258950311583</v>
      </c>
      <c r="AM31" s="103">
        <f>'aij-UNIFAC (LLE)'!$D17*(1-LN(U31)-AG31)</f>
        <v>1.1153775331547922</v>
      </c>
      <c r="AN31" s="104">
        <f>'aij-UNIFAC (LLE)'!$D17*(1-LN(V31)-AH31)</f>
        <v>-2.5130946164000711</v>
      </c>
      <c r="AO31" s="104">
        <f>'aij-UNIFAC (LLE)'!$D17*(1-LN(W31)-AI31)</f>
        <v>0.57295423217446895</v>
      </c>
      <c r="AP31" s="104">
        <f>'aij-UNIFAC (LLE)'!$D17*(1-LN(X31)-AJ31)</f>
        <v>-2.2562753565646139</v>
      </c>
      <c r="AQ31" s="104">
        <f>'aij-UNIFAC (LLE)'!$D17*(1-LN(Y31)-AK31)</f>
        <v>1.4737704017677677</v>
      </c>
      <c r="AR31" s="105">
        <f>'aij-UNIFAC (LLE)'!$D17*(1-LN(Z31)-AL31)</f>
        <v>-2.1409406437024376</v>
      </c>
      <c r="AS31" s="35"/>
      <c r="AT31" s="35"/>
    </row>
    <row r="32" spans="1:49" s="72" customFormat="1" ht="11">
      <c r="A32" s="35" t="str">
        <f>'aij-UNIFAC (LLE)'!B18</f>
        <v>H2O</v>
      </c>
      <c r="B32" s="57">
        <v>1</v>
      </c>
      <c r="C32" s="57"/>
      <c r="D32" s="57"/>
      <c r="E32" s="57"/>
      <c r="F32" s="57"/>
      <c r="G32" s="83">
        <f t="array" ref="G32">SUM(B32:F32*$B$22:$F$22)</f>
        <v>0.26400000000000001</v>
      </c>
      <c r="H32" s="36" t="str">
        <f t="shared" si="0"/>
        <v>H2O</v>
      </c>
      <c r="I32" s="95">
        <f t="shared" si="1"/>
        <v>1</v>
      </c>
      <c r="J32" s="96">
        <f t="shared" si="1"/>
        <v>0</v>
      </c>
      <c r="K32" s="96">
        <f t="shared" si="1"/>
        <v>0</v>
      </c>
      <c r="L32" s="96">
        <f t="shared" si="1"/>
        <v>0</v>
      </c>
      <c r="M32" s="96">
        <f t="shared" si="1"/>
        <v>0</v>
      </c>
      <c r="N32" s="97">
        <f t="shared" si="2"/>
        <v>3.8327526132404185E-2</v>
      </c>
      <c r="O32" s="95">
        <f>I32*'aij-UNIFAC (LLE)'!$D18/I$42</f>
        <v>1</v>
      </c>
      <c r="P32" s="96">
        <f>J32*'aij-UNIFAC (LLE)'!$D18/J$42</f>
        <v>0</v>
      </c>
      <c r="Q32" s="96">
        <f>K32*'aij-UNIFAC (LLE)'!$D18/K$42</f>
        <v>0</v>
      </c>
      <c r="R32" s="96">
        <f>L32*'aij-UNIFAC (LLE)'!$D18/L$42</f>
        <v>0</v>
      </c>
      <c r="S32" s="96">
        <f>M32*'aij-UNIFAC (LLE)'!$D18/M$42</f>
        <v>0</v>
      </c>
      <c r="T32" s="98">
        <f>N32*'aij-UNIFAC (LLE)'!$D18/N$42</f>
        <v>7.9330192178249104E-2</v>
      </c>
      <c r="U32" s="95">
        <v>1</v>
      </c>
      <c r="V32" s="96">
        <v>0.19969535482510298</v>
      </c>
      <c r="W32" s="96">
        <v>4.8909943015602017E-2</v>
      </c>
      <c r="X32" s="99">
        <v>0.43076704484901374</v>
      </c>
      <c r="Y32" s="99">
        <v>1.5123276497361903E-2</v>
      </c>
      <c r="Z32" s="100">
        <v>0.263183676127973</v>
      </c>
      <c r="AA32" s="101">
        <f t="shared" si="3"/>
        <v>1</v>
      </c>
      <c r="AB32" s="102">
        <f t="shared" si="3"/>
        <v>0</v>
      </c>
      <c r="AC32" s="102">
        <f t="shared" si="3"/>
        <v>0</v>
      </c>
      <c r="AD32" s="102">
        <f t="shared" si="3"/>
        <v>0</v>
      </c>
      <c r="AE32" s="102">
        <f t="shared" si="3"/>
        <v>0</v>
      </c>
      <c r="AF32" s="97">
        <f t="shared" si="3"/>
        <v>0.3014251998656437</v>
      </c>
      <c r="AG32" s="95">
        <v>1</v>
      </c>
      <c r="AH32" s="99">
        <v>1.3050179958585086</v>
      </c>
      <c r="AI32" s="99">
        <v>2.2335193841472325</v>
      </c>
      <c r="AJ32" s="99">
        <v>1.5512650441003495</v>
      </c>
      <c r="AK32" s="99">
        <v>0.33154824509283004</v>
      </c>
      <c r="AL32" s="100">
        <v>1.3012808705715224</v>
      </c>
      <c r="AM32" s="103">
        <f>'aij-UNIFAC (LLE)'!$D18*(1-LN(U32)-AG32)</f>
        <v>0</v>
      </c>
      <c r="AN32" s="104">
        <f>'aij-UNIFAC (LLE)'!$D18*(1-LN(V32)-AH32)</f>
        <v>1.8283220252332391</v>
      </c>
      <c r="AO32" s="104">
        <f>'aij-UNIFAC (LLE)'!$D18*(1-LN(W32)-AI32)</f>
        <v>2.4979572595196391</v>
      </c>
      <c r="AP32" s="104">
        <f>'aij-UNIFAC (LLE)'!$D18*(1-LN(X32)-AJ32)</f>
        <v>0.40729190612684768</v>
      </c>
      <c r="AQ32" s="104">
        <f>'aij-UNIFAC (LLE)'!$D18*(1-LN(Y32)-AK32)</f>
        <v>6.8039607818740677</v>
      </c>
      <c r="AR32" s="105">
        <f>'aij-UNIFAC (LLE)'!$D18*(1-LN(Z32)-AL32)</f>
        <v>1.4470711243424765</v>
      </c>
      <c r="AS32" s="35"/>
      <c r="AT32" s="35" t="s">
        <v>90</v>
      </c>
    </row>
    <row r="33" spans="1:46" s="72" customFormat="1" ht="13">
      <c r="A33" s="35" t="str">
        <f>'aij-UNIFAC (LLE)'!B19</f>
        <v>ACOH</v>
      </c>
      <c r="B33" s="57"/>
      <c r="C33" s="57"/>
      <c r="D33" s="57"/>
      <c r="E33" s="57"/>
      <c r="F33" s="57"/>
      <c r="G33" s="83">
        <f t="array" ref="G33">SUM(B33:F33*$B$22:$F$22)</f>
        <v>0</v>
      </c>
      <c r="H33" s="36" t="str">
        <f t="shared" si="0"/>
        <v>ACOH</v>
      </c>
      <c r="I33" s="95">
        <f t="shared" si="1"/>
        <v>0</v>
      </c>
      <c r="J33" s="96">
        <f t="shared" si="1"/>
        <v>0</v>
      </c>
      <c r="K33" s="96">
        <f t="shared" si="1"/>
        <v>0</v>
      </c>
      <c r="L33" s="96">
        <f t="shared" si="1"/>
        <v>0</v>
      </c>
      <c r="M33" s="96">
        <f t="shared" si="1"/>
        <v>0</v>
      </c>
      <c r="N33" s="97">
        <f t="shared" si="2"/>
        <v>0</v>
      </c>
      <c r="O33" s="95">
        <f>I33*'aij-UNIFAC (LLE)'!$D19/I$42</f>
        <v>0</v>
      </c>
      <c r="P33" s="96">
        <f>J33*'aij-UNIFAC (LLE)'!$D19/J$42</f>
        <v>0</v>
      </c>
      <c r="Q33" s="96">
        <f>K33*'aij-UNIFAC (LLE)'!$D19/K$42</f>
        <v>0</v>
      </c>
      <c r="R33" s="96">
        <f>L33*'aij-UNIFAC (LLE)'!$D19/L$42</f>
        <v>0</v>
      </c>
      <c r="S33" s="96">
        <f>M33*'aij-UNIFAC (LLE)'!$D19/M$42</f>
        <v>0</v>
      </c>
      <c r="T33" s="98">
        <f>N33*'aij-UNIFAC (LLE)'!$D19/N$42</f>
        <v>0</v>
      </c>
      <c r="U33" s="95">
        <v>0.32931094218893153</v>
      </c>
      <c r="V33" s="96">
        <v>0.38728872297204986</v>
      </c>
      <c r="W33" s="96">
        <v>0.3157430098313645</v>
      </c>
      <c r="X33" s="99">
        <v>0.87127696970074864</v>
      </c>
      <c r="Y33" s="99">
        <v>6.9564194307687635E-4</v>
      </c>
      <c r="Z33" s="100">
        <v>0.38268933448045661</v>
      </c>
      <c r="AA33" s="101">
        <f t="shared" si="3"/>
        <v>0</v>
      </c>
      <c r="AB33" s="102">
        <f t="shared" si="3"/>
        <v>0</v>
      </c>
      <c r="AC33" s="102">
        <f t="shared" si="3"/>
        <v>0</v>
      </c>
      <c r="AD33" s="102">
        <f t="shared" si="3"/>
        <v>0</v>
      </c>
      <c r="AE33" s="102">
        <f t="shared" si="3"/>
        <v>0</v>
      </c>
      <c r="AF33" s="97">
        <f t="shared" si="3"/>
        <v>0</v>
      </c>
      <c r="AG33" s="95">
        <v>6.8300253796868988</v>
      </c>
      <c r="AH33" s="99">
        <v>2.3626148893682539</v>
      </c>
      <c r="AI33" s="99">
        <v>3.4198629451131737</v>
      </c>
      <c r="AJ33" s="99">
        <v>2.3584753196573045</v>
      </c>
      <c r="AK33" s="99">
        <v>1.6740311230519083</v>
      </c>
      <c r="AL33" s="100">
        <v>4.1282194895769315</v>
      </c>
      <c r="AM33" s="103">
        <f>'aij-UNIFAC (LLE)'!$D19*(1-LN(U33)-AG33)</f>
        <v>-3.2091053123544295</v>
      </c>
      <c r="AN33" s="104">
        <f>'aij-UNIFAC (LLE)'!$D19*(1-LN(V33)-AH33)</f>
        <v>-0.28154045402406452</v>
      </c>
      <c r="AO33" s="104">
        <f>'aij-UNIFAC (LLE)'!$D19*(1-LN(W33)-AI33)</f>
        <v>-0.86158467639439118</v>
      </c>
      <c r="AP33" s="104">
        <f>'aij-UNIFAC (LLE)'!$D19*(1-LN(X33)-AJ33)</f>
        <v>-0.83006237106667924</v>
      </c>
      <c r="AQ33" s="104">
        <f>'aij-UNIFAC (LLE)'!$D19*(1-LN(Y33)-AK33)</f>
        <v>4.4857181624572187</v>
      </c>
      <c r="AR33" s="105">
        <f>'aij-UNIFAC (LLE)'!$D19*(1-LN(Z33)-AL33)</f>
        <v>-1.474027658779302</v>
      </c>
      <c r="AS33" s="5"/>
      <c r="AT33" s="35" t="s">
        <v>91</v>
      </c>
    </row>
    <row r="34" spans="1:46" s="72" customFormat="1" ht="13">
      <c r="A34" s="35" t="str">
        <f>'aij-UNIFAC (LLE)'!B20</f>
        <v>CH3CO</v>
      </c>
      <c r="B34" s="57"/>
      <c r="C34" s="57"/>
      <c r="D34" s="57"/>
      <c r="E34" s="57"/>
      <c r="F34" s="57"/>
      <c r="G34" s="83">
        <f t="array" ref="G34">SUM(B34:F34*$B$22:$F$22)</f>
        <v>0</v>
      </c>
      <c r="H34" s="36" t="str">
        <f t="shared" si="0"/>
        <v>CH3CO</v>
      </c>
      <c r="I34" s="95">
        <f t="shared" si="1"/>
        <v>0</v>
      </c>
      <c r="J34" s="96">
        <f t="shared" si="1"/>
        <v>0</v>
      </c>
      <c r="K34" s="96">
        <f t="shared" si="1"/>
        <v>0</v>
      </c>
      <c r="L34" s="96">
        <f t="shared" si="1"/>
        <v>0</v>
      </c>
      <c r="M34" s="96">
        <f t="shared" si="1"/>
        <v>0</v>
      </c>
      <c r="N34" s="97">
        <f t="shared" si="2"/>
        <v>0</v>
      </c>
      <c r="O34" s="95">
        <f>I34*'aij-UNIFAC (LLE)'!$D20/I$42</f>
        <v>0</v>
      </c>
      <c r="P34" s="96">
        <f>J34*'aij-UNIFAC (LLE)'!$D20/J$42</f>
        <v>0</v>
      </c>
      <c r="Q34" s="96">
        <f>K34*'aij-UNIFAC (LLE)'!$D20/K$42</f>
        <v>0</v>
      </c>
      <c r="R34" s="96">
        <f>L34*'aij-UNIFAC (LLE)'!$D20/L$42</f>
        <v>0</v>
      </c>
      <c r="S34" s="96">
        <f>M34*'aij-UNIFAC (LLE)'!$D20/M$42</f>
        <v>0</v>
      </c>
      <c r="T34" s="98">
        <f>N34*'aij-UNIFAC (LLE)'!$D20/N$42</f>
        <v>0</v>
      </c>
      <c r="U34" s="95">
        <v>1.7400703090493814</v>
      </c>
      <c r="V34" s="96">
        <v>0.33888493387043223</v>
      </c>
      <c r="W34" s="96">
        <v>0.41645807180465622</v>
      </c>
      <c r="X34" s="99">
        <v>0.49036615051906962</v>
      </c>
      <c r="Y34" s="99">
        <v>0.21788697439923668</v>
      </c>
      <c r="Z34" s="100">
        <v>0.45004123896073034</v>
      </c>
      <c r="AA34" s="101">
        <f t="shared" si="3"/>
        <v>0</v>
      </c>
      <c r="AB34" s="102">
        <f t="shared" si="3"/>
        <v>0</v>
      </c>
      <c r="AC34" s="102">
        <f t="shared" si="3"/>
        <v>0</v>
      </c>
      <c r="AD34" s="102">
        <f t="shared" si="3"/>
        <v>0</v>
      </c>
      <c r="AE34" s="102">
        <f t="shared" si="3"/>
        <v>0</v>
      </c>
      <c r="AF34" s="97">
        <f t="shared" si="3"/>
        <v>0</v>
      </c>
      <c r="AG34" s="95">
        <v>0.12915376963616196</v>
      </c>
      <c r="AH34" s="99">
        <v>1.0763767101089179</v>
      </c>
      <c r="AI34" s="99">
        <v>0.98768096983751008</v>
      </c>
      <c r="AJ34" s="99">
        <v>1.0559729635629898</v>
      </c>
      <c r="AK34" s="99">
        <v>0.80685941253213911</v>
      </c>
      <c r="AL34" s="100">
        <v>0.9924303278597264</v>
      </c>
      <c r="AM34" s="103">
        <f>'aij-UNIFAC (LLE)'!$D20*(1-LN(U34)-AG34)</f>
        <v>0.47157801715572589</v>
      </c>
      <c r="AN34" s="104">
        <f>'aij-UNIFAC (LLE)'!$D20*(1-LN(V34)-AH34)</f>
        <v>1.496508305466854</v>
      </c>
      <c r="AO34" s="104">
        <f>'aij-UNIFAC (LLE)'!$D20*(1-LN(W34)-AI34)</f>
        <v>1.3217733185651357</v>
      </c>
      <c r="AP34" s="104">
        <f>'aij-UNIFAC (LLE)'!$D20*(1-LN(X34)-AJ34)</f>
        <v>0.97706537662079296</v>
      </c>
      <c r="AQ34" s="104">
        <f>'aij-UNIFAC (LLE)'!$D20*(1-LN(Y34)-AK34)</f>
        <v>2.554776073404152</v>
      </c>
      <c r="AR34" s="105">
        <f>'aij-UNIFAC (LLE)'!$D20*(1-LN(Z34)-AL34)</f>
        <v>1.1993067668678956</v>
      </c>
      <c r="AS34" s="5"/>
      <c r="AT34" s="35" t="s">
        <v>93</v>
      </c>
    </row>
    <row r="35" spans="1:46" s="72" customFormat="1" ht="13">
      <c r="A35" s="35" t="str">
        <f>'aij-UNIFAC (LLE)'!B21</f>
        <v>CHO</v>
      </c>
      <c r="B35" s="57"/>
      <c r="C35" s="57"/>
      <c r="D35" s="57"/>
      <c r="E35" s="57"/>
      <c r="F35" s="57"/>
      <c r="G35" s="83">
        <f t="array" ref="G35">SUM(B35:F35*$B$22:$F$22)</f>
        <v>0</v>
      </c>
      <c r="H35" s="36" t="str">
        <f t="shared" si="0"/>
        <v>CHO</v>
      </c>
      <c r="I35" s="95">
        <f t="shared" si="1"/>
        <v>0</v>
      </c>
      <c r="J35" s="96">
        <f t="shared" si="1"/>
        <v>0</v>
      </c>
      <c r="K35" s="96">
        <f t="shared" si="1"/>
        <v>0</v>
      </c>
      <c r="L35" s="96">
        <f t="shared" si="1"/>
        <v>0</v>
      </c>
      <c r="M35" s="96">
        <f t="shared" si="1"/>
        <v>0</v>
      </c>
      <c r="N35" s="97">
        <f t="shared" si="2"/>
        <v>0</v>
      </c>
      <c r="O35" s="95">
        <f>I35*'aij-UNIFAC (LLE)'!$D21/I$42</f>
        <v>0</v>
      </c>
      <c r="P35" s="96">
        <f>J35*'aij-UNIFAC (LLE)'!$D21/J$42</f>
        <v>0</v>
      </c>
      <c r="Q35" s="96">
        <f>K35*'aij-UNIFAC (LLE)'!$D21/K$42</f>
        <v>0</v>
      </c>
      <c r="R35" s="96">
        <f>L35*'aij-UNIFAC (LLE)'!$D21/L$42</f>
        <v>0</v>
      </c>
      <c r="S35" s="96">
        <f>M35*'aij-UNIFAC (LLE)'!$D21/M$42</f>
        <v>0</v>
      </c>
      <c r="T35" s="98">
        <f>N35*'aij-UNIFAC (LLE)'!$D21/N$42</f>
        <v>0</v>
      </c>
      <c r="U35" s="95">
        <v>3.0899774455667761</v>
      </c>
      <c r="V35" s="96">
        <v>0.47916082580448349</v>
      </c>
      <c r="W35" s="96">
        <v>0.25280563942138456</v>
      </c>
      <c r="X35" s="99">
        <v>0.32707251359457917</v>
      </c>
      <c r="Y35" s="99">
        <v>0.60064371222399959</v>
      </c>
      <c r="Z35" s="100">
        <v>0.68627740999239295</v>
      </c>
      <c r="AA35" s="101">
        <f t="shared" si="3"/>
        <v>0</v>
      </c>
      <c r="AB35" s="102">
        <f t="shared" si="3"/>
        <v>0</v>
      </c>
      <c r="AC35" s="102">
        <f t="shared" si="3"/>
        <v>0</v>
      </c>
      <c r="AD35" s="102">
        <f t="shared" si="3"/>
        <v>0</v>
      </c>
      <c r="AE35" s="102">
        <f t="shared" si="3"/>
        <v>0</v>
      </c>
      <c r="AF35" s="97">
        <f t="shared" si="3"/>
        <v>0</v>
      </c>
      <c r="AG35" s="95">
        <v>0.13385978097569143</v>
      </c>
      <c r="AH35" s="99">
        <v>3.2824234532910626</v>
      </c>
      <c r="AI35" s="99">
        <v>1.1144318473803418</v>
      </c>
      <c r="AJ35" s="99">
        <v>3.9896123487848261</v>
      </c>
      <c r="AK35" s="99">
        <v>0.62433862522983363</v>
      </c>
      <c r="AL35" s="100">
        <v>2.5046019610444699</v>
      </c>
      <c r="AM35" s="103">
        <f>'aij-UNIFAC (LLE)'!$D21*(1-LN(U35)-AG35)</f>
        <v>-0.24839834690953058</v>
      </c>
      <c r="AN35" s="104">
        <f>'aij-UNIFAC (LLE)'!$D21*(1-LN(V35)-AH35)</f>
        <v>-1.4662758362447461</v>
      </c>
      <c r="AO35" s="104">
        <f>'aij-UNIFAC (LLE)'!$D21*(1-LN(W35)-AI35)</f>
        <v>1.1951459337296657</v>
      </c>
      <c r="AP35" s="104">
        <f>'aij-UNIFAC (LLE)'!$D21*(1-LN(X35)-AJ35)</f>
        <v>-1.7746929437761405</v>
      </c>
      <c r="AQ35" s="104">
        <f>'aij-UNIFAC (LLE)'!$D21*(1-LN(Y35)-AK35)</f>
        <v>0.83937315448959804</v>
      </c>
      <c r="AR35" s="105">
        <f>'aij-UNIFAC (LLE)'!$D21*(1-LN(Z35)-AL35)</f>
        <v>-1.0694659277684875</v>
      </c>
      <c r="AS35" s="5"/>
      <c r="AT35" s="35" t="s">
        <v>94</v>
      </c>
    </row>
    <row r="36" spans="1:46" s="72" customFormat="1" ht="13">
      <c r="A36" s="35" t="str">
        <f>'aij-UNIFAC (LLE)'!B22</f>
        <v>COOH</v>
      </c>
      <c r="B36" s="57"/>
      <c r="C36" s="57"/>
      <c r="D36" s="57">
        <v>1</v>
      </c>
      <c r="E36" s="57"/>
      <c r="F36" s="57"/>
      <c r="G36" s="83">
        <f t="array" ref="G36">SUM(B36:F36*$B$22:$F$22)</f>
        <v>9.9999999999999995E-21</v>
      </c>
      <c r="H36" s="36" t="str">
        <f t="shared" si="0"/>
        <v>COOH</v>
      </c>
      <c r="I36" s="95">
        <f t="shared" ref="I36:M41" si="4">B36/B$43</f>
        <v>0</v>
      </c>
      <c r="J36" s="96">
        <f t="shared" si="4"/>
        <v>0</v>
      </c>
      <c r="K36" s="96">
        <f t="shared" si="4"/>
        <v>0.1111111111111111</v>
      </c>
      <c r="L36" s="96">
        <f t="shared" si="4"/>
        <v>0</v>
      </c>
      <c r="M36" s="96">
        <f t="shared" si="4"/>
        <v>0</v>
      </c>
      <c r="N36" s="97">
        <f t="shared" ref="N36:N41" si="5">G36/$G$42</f>
        <v>1.451800232288037E-21</v>
      </c>
      <c r="O36" s="95">
        <f>I36*'aij-UNIFAC (LLE)'!$D22/I$42</f>
        <v>0</v>
      </c>
      <c r="P36" s="96">
        <f>J36*'aij-UNIFAC (LLE)'!$D22/J$42</f>
        <v>0</v>
      </c>
      <c r="Q36" s="96">
        <f>K36*'aij-UNIFAC (LLE)'!$D22/K$42</f>
        <v>0.22125813449023862</v>
      </c>
      <c r="R36" s="96">
        <f>L36*'aij-UNIFAC (LLE)'!$D22/L$42</f>
        <v>0</v>
      </c>
      <c r="S36" s="96">
        <f>M36*'aij-UNIFAC (LLE)'!$D22/M$42</f>
        <v>0</v>
      </c>
      <c r="T36" s="98">
        <f>N36*'aij-UNIFAC (LLE)'!$D22/N$42</f>
        <v>2.6271687020069503E-21</v>
      </c>
      <c r="U36" s="95">
        <v>4.4885581120578797</v>
      </c>
      <c r="V36" s="96">
        <v>0.79454448859230764</v>
      </c>
      <c r="W36" s="96">
        <v>0.52653716818229834</v>
      </c>
      <c r="X36" s="99">
        <v>0.99056184163637861</v>
      </c>
      <c r="Y36" s="99">
        <v>0.63797260288920421</v>
      </c>
      <c r="Z36" s="100">
        <v>1.087591299250902</v>
      </c>
      <c r="AA36" s="101">
        <f t="shared" si="3"/>
        <v>0</v>
      </c>
      <c r="AB36" s="102">
        <f t="shared" si="3"/>
        <v>0</v>
      </c>
      <c r="AC36" s="102">
        <f t="shared" si="3"/>
        <v>0.42021370543329689</v>
      </c>
      <c r="AD36" s="102">
        <f t="shared" si="3"/>
        <v>0</v>
      </c>
      <c r="AE36" s="102">
        <f t="shared" si="3"/>
        <v>0</v>
      </c>
      <c r="AF36" s="97">
        <f t="shared" si="3"/>
        <v>2.4155845158162444E-21</v>
      </c>
      <c r="AG36" s="95">
        <v>0.12206813791728427</v>
      </c>
      <c r="AH36" s="99">
        <v>0.46376330538212107</v>
      </c>
      <c r="AI36" s="99">
        <v>0.77246193365250737</v>
      </c>
      <c r="AJ36" s="99">
        <v>0.59912828240785676</v>
      </c>
      <c r="AK36" s="99">
        <v>3.6134741400838028E-3</v>
      </c>
      <c r="AL36" s="100">
        <v>0.36452996790452324</v>
      </c>
      <c r="AM36" s="103">
        <f>'aij-UNIFAC (LLE)'!$D22*(1-LN(U36)-AG36)</f>
        <v>-0.76328597762842509</v>
      </c>
      <c r="AN36" s="104">
        <f>'aij-UNIFAC (LLE)'!$D22*(1-LN(V36)-AH36)</f>
        <v>0.93785694401958086</v>
      </c>
      <c r="AO36" s="104">
        <f>'aij-UNIFAC (LLE)'!$D22*(1-LN(W36)-AI36)</f>
        <v>1.0636210198047682</v>
      </c>
      <c r="AP36" s="104">
        <f>'aij-UNIFAC (LLE)'!$D22*(1-LN(X36)-AJ36)</f>
        <v>0.50227414988440966</v>
      </c>
      <c r="AQ36" s="104">
        <f>'aij-UNIFAC (LLE)'!$D22*(1-LN(Y36)-AK36)</f>
        <v>1.7697160726694647</v>
      </c>
      <c r="AR36" s="105">
        <f>'aij-UNIFAC (LLE)'!$D22*(1-LN(Z36)-AL36)</f>
        <v>0.67504162832470271</v>
      </c>
      <c r="AS36" s="5"/>
      <c r="AT36" s="5"/>
    </row>
    <row r="37" spans="1:46">
      <c r="A37" s="35" t="str">
        <f>'aij-UNIFAC (LLE)'!B23</f>
        <v>CH3COO</v>
      </c>
      <c r="B37" s="57"/>
      <c r="C37" s="57"/>
      <c r="D37" s="57"/>
      <c r="E37" s="57"/>
      <c r="F37" s="57"/>
      <c r="G37" s="83">
        <f t="array" ref="G37">SUM(B37:F37*$B$22:$F$22)</f>
        <v>0</v>
      </c>
      <c r="H37" s="36" t="str">
        <f t="shared" si="0"/>
        <v>CH3COO</v>
      </c>
      <c r="I37" s="95">
        <f t="shared" si="4"/>
        <v>0</v>
      </c>
      <c r="J37" s="96">
        <f t="shared" si="4"/>
        <v>0</v>
      </c>
      <c r="K37" s="96">
        <f t="shared" si="4"/>
        <v>0</v>
      </c>
      <c r="L37" s="96">
        <f t="shared" si="4"/>
        <v>0</v>
      </c>
      <c r="M37" s="96">
        <f t="shared" si="4"/>
        <v>0</v>
      </c>
      <c r="N37" s="97">
        <f t="shared" si="5"/>
        <v>0</v>
      </c>
      <c r="O37" s="95">
        <f>I37*'aij-UNIFAC (LLE)'!$D23/I$42</f>
        <v>0</v>
      </c>
      <c r="P37" s="96">
        <f>J37*'aij-UNIFAC (LLE)'!$D23/J$42</f>
        <v>0</v>
      </c>
      <c r="Q37" s="96">
        <f>K37*'aij-UNIFAC (LLE)'!$D23/K$42</f>
        <v>0</v>
      </c>
      <c r="R37" s="96">
        <f>L37*'aij-UNIFAC (LLE)'!$D23/L$42</f>
        <v>0</v>
      </c>
      <c r="S37" s="96">
        <f>M37*'aij-UNIFAC (LLE)'!$D23/M$42</f>
        <v>0</v>
      </c>
      <c r="T37" s="98">
        <f>N37*'aij-UNIFAC (LLE)'!$D23/N$42</f>
        <v>0</v>
      </c>
      <c r="U37" s="95">
        <v>1.0205862701372792</v>
      </c>
      <c r="V37" s="96">
        <v>0.14412353126623745</v>
      </c>
      <c r="W37" s="96">
        <v>0.61787069752529089</v>
      </c>
      <c r="X37" s="99">
        <v>0.27011165895078876</v>
      </c>
      <c r="Y37" s="99">
        <v>4.3488570016972379E-2</v>
      </c>
      <c r="Z37" s="100">
        <v>0.21365348877795173</v>
      </c>
      <c r="AA37" s="101">
        <f t="shared" si="3"/>
        <v>0</v>
      </c>
      <c r="AB37" s="102">
        <f t="shared" si="3"/>
        <v>0</v>
      </c>
      <c r="AC37" s="102">
        <f t="shared" si="3"/>
        <v>0</v>
      </c>
      <c r="AD37" s="102">
        <f t="shared" si="3"/>
        <v>0</v>
      </c>
      <c r="AE37" s="102">
        <f t="shared" si="3"/>
        <v>0</v>
      </c>
      <c r="AF37" s="97">
        <f t="shared" si="3"/>
        <v>0</v>
      </c>
      <c r="AG37" s="95">
        <v>0.28816078894676295</v>
      </c>
      <c r="AH37" s="99">
        <v>2.9519273689302867</v>
      </c>
      <c r="AI37" s="99">
        <v>1.803698397525241</v>
      </c>
      <c r="AJ37" s="99">
        <v>2.6470206524775732</v>
      </c>
      <c r="AK37" s="99">
        <v>2.80690162655715</v>
      </c>
      <c r="AL37" s="100">
        <v>2.8452859969810489</v>
      </c>
      <c r="AM37" s="103">
        <f>'aij-UNIFAC (LLE)'!$D23*(1-LN(U37)-AG37)</f>
        <v>1.1948462914734901</v>
      </c>
      <c r="AN37" s="104">
        <f>'aij-UNIFAC (LLE)'!$D23*(1-LN(V37)-AH37)</f>
        <v>-2.5648492823743766E-2</v>
      </c>
      <c r="AO37" s="104">
        <f>'aij-UNIFAC (LLE)'!$D23*(1-LN(W37)-AI37)</f>
        <v>-0.55680018071792381</v>
      </c>
      <c r="AP37" s="104">
        <f>'aij-UNIFAC (LLE)'!$D23*(1-LN(X37)-AJ37)</f>
        <v>-0.58423818010949402</v>
      </c>
      <c r="AQ37" s="104">
        <f>'aij-UNIFAC (LLE)'!$D23*(1-LN(Y37)-AK37)</f>
        <v>2.2953983162478235</v>
      </c>
      <c r="AR37" s="105">
        <f>'aij-UNIFAC (LLE)'!$D23*(1-LN(Z37)-AL37)</f>
        <v>-0.5216593697797941</v>
      </c>
      <c r="AS37" s="5"/>
      <c r="AT37" s="5"/>
    </row>
    <row r="38" spans="1:46">
      <c r="A38" s="35" t="str">
        <f>'aij-UNIFAC (LLE)'!B24</f>
        <v>CH2O</v>
      </c>
      <c r="B38" s="57"/>
      <c r="C38" s="57"/>
      <c r="D38" s="57"/>
      <c r="E38" s="57"/>
      <c r="F38" s="57"/>
      <c r="G38" s="83">
        <f t="array" ref="G38">SUM(B38:F38*$B$22:$F$22)</f>
        <v>0</v>
      </c>
      <c r="H38" s="36" t="str">
        <f t="shared" si="0"/>
        <v>CH2O</v>
      </c>
      <c r="I38" s="95">
        <f t="shared" si="4"/>
        <v>0</v>
      </c>
      <c r="J38" s="96">
        <f t="shared" si="4"/>
        <v>0</v>
      </c>
      <c r="K38" s="96">
        <f t="shared" si="4"/>
        <v>0</v>
      </c>
      <c r="L38" s="96">
        <f t="shared" si="4"/>
        <v>0</v>
      </c>
      <c r="M38" s="96">
        <f t="shared" si="4"/>
        <v>0</v>
      </c>
      <c r="N38" s="97">
        <f t="shared" si="5"/>
        <v>0</v>
      </c>
      <c r="O38" s="95">
        <f>I38*'aij-UNIFAC (LLE)'!$D24/I$42</f>
        <v>0</v>
      </c>
      <c r="P38" s="96">
        <f>J38*'aij-UNIFAC (LLE)'!$D24/J$42</f>
        <v>0</v>
      </c>
      <c r="Q38" s="96">
        <f>K38*'aij-UNIFAC (LLE)'!$D24/K$42</f>
        <v>0</v>
      </c>
      <c r="R38" s="96">
        <f>L38*'aij-UNIFAC (LLE)'!$D24/L$42</f>
        <v>0</v>
      </c>
      <c r="S38" s="96">
        <f>M38*'aij-UNIFAC (LLE)'!$D24/M$42</f>
        <v>0</v>
      </c>
      <c r="T38" s="98">
        <f>N38*'aij-UNIFAC (LLE)'!$D24/N$42</f>
        <v>0</v>
      </c>
      <c r="U38" s="95">
        <v>0.81244590233659419</v>
      </c>
      <c r="V38" s="96">
        <v>0.18224533250034464</v>
      </c>
      <c r="W38" s="96">
        <v>0.71259086973137675</v>
      </c>
      <c r="X38" s="99">
        <v>0.26233637516313413</v>
      </c>
      <c r="Y38" s="99">
        <v>0.11827137620056094</v>
      </c>
      <c r="Z38" s="100">
        <v>0.23223926481629642</v>
      </c>
      <c r="AA38" s="101">
        <f t="shared" si="3"/>
        <v>0</v>
      </c>
      <c r="AB38" s="102">
        <f t="shared" si="3"/>
        <v>0</v>
      </c>
      <c r="AC38" s="102">
        <f t="shared" si="3"/>
        <v>0</v>
      </c>
      <c r="AD38" s="102">
        <f t="shared" si="3"/>
        <v>0</v>
      </c>
      <c r="AE38" s="102">
        <f t="shared" si="3"/>
        <v>0</v>
      </c>
      <c r="AF38" s="97">
        <f t="shared" si="3"/>
        <v>0</v>
      </c>
      <c r="AG38" s="95">
        <v>0.5035261561371539</v>
      </c>
      <c r="AH38" s="99">
        <v>0.43929746970205219</v>
      </c>
      <c r="AI38" s="99">
        <v>0.42174669455432207</v>
      </c>
      <c r="AJ38" s="99">
        <v>0.56631060539988198</v>
      </c>
      <c r="AK38" s="99">
        <v>6.3120738963235393E-3</v>
      </c>
      <c r="AL38" s="100">
        <v>0.46291911185646339</v>
      </c>
      <c r="AM38" s="103">
        <f>'aij-UNIFAC (LLE)'!$D24*(1-LN(U38)-AG38)</f>
        <v>0.54926023822591685</v>
      </c>
      <c r="AN38" s="104">
        <f>'aij-UNIFAC (LLE)'!$D24*(1-LN(V38)-AH38)</f>
        <v>1.7652211583312429</v>
      </c>
      <c r="AO38" s="104">
        <f>'aij-UNIFAC (LLE)'!$D24*(1-LN(W38)-AI38)</f>
        <v>0.71533889228256209</v>
      </c>
      <c r="AP38" s="104">
        <f>'aij-UNIFAC (LLE)'!$D24*(1-LN(X38)-AJ38)</f>
        <v>1.3820173525197388</v>
      </c>
      <c r="AQ38" s="104">
        <f>'aij-UNIFAC (LLE)'!$D24*(1-LN(Y38)-AK38)</f>
        <v>2.4401999097830829</v>
      </c>
      <c r="AR38" s="105">
        <f>'aij-UNIFAC (LLE)'!$D24*(1-LN(Z38)-AL38)</f>
        <v>1.5577130501671472</v>
      </c>
      <c r="AS38" s="5"/>
      <c r="AT38" s="5"/>
    </row>
    <row r="39" spans="1:46">
      <c r="A39" s="35" t="str">
        <f>'aij-UNIFAC (LLE)'!B25</f>
        <v>CHCL2</v>
      </c>
      <c r="B39" s="57"/>
      <c r="C39" s="57"/>
      <c r="D39" s="57"/>
      <c r="E39" s="57"/>
      <c r="F39" s="57"/>
      <c r="G39" s="83">
        <f t="array" ref="G39">SUM(B39:F39*$B$22:$F$22)</f>
        <v>0</v>
      </c>
      <c r="H39" s="36" t="str">
        <f t="shared" si="0"/>
        <v>CHCL2</v>
      </c>
      <c r="I39" s="95">
        <f t="shared" si="4"/>
        <v>0</v>
      </c>
      <c r="J39" s="96">
        <f t="shared" si="4"/>
        <v>0</v>
      </c>
      <c r="K39" s="96">
        <f t="shared" si="4"/>
        <v>0</v>
      </c>
      <c r="L39" s="96">
        <f t="shared" si="4"/>
        <v>0</v>
      </c>
      <c r="M39" s="96">
        <f t="shared" si="4"/>
        <v>0</v>
      </c>
      <c r="N39" s="97">
        <f t="shared" si="5"/>
        <v>0</v>
      </c>
      <c r="O39" s="95">
        <f>I39*'aij-UNIFAC (LLE)'!$D25/I$42</f>
        <v>0</v>
      </c>
      <c r="P39" s="96">
        <f>J39*'aij-UNIFAC (LLE)'!$D25/J$42</f>
        <v>0</v>
      </c>
      <c r="Q39" s="96">
        <f>K39*'aij-UNIFAC (LLE)'!$D25/K$42</f>
        <v>0</v>
      </c>
      <c r="R39" s="96">
        <f>L39*'aij-UNIFAC (LLE)'!$D25/L$42</f>
        <v>0</v>
      </c>
      <c r="S39" s="96">
        <f>M39*'aij-UNIFAC (LLE)'!$D25/M$42</f>
        <v>0</v>
      </c>
      <c r="T39" s="98">
        <f>N39*'aij-UNIFAC (LLE)'!$D25/N$42</f>
        <v>0</v>
      </c>
      <c r="U39" s="95">
        <v>0.30263491061532249</v>
      </c>
      <c r="V39" s="96">
        <v>1.8290195132021594</v>
      </c>
      <c r="W39" s="96">
        <v>1.0797034606882656</v>
      </c>
      <c r="X39" s="99">
        <v>1.3702552029907276</v>
      </c>
      <c r="Y39" s="99">
        <v>2.1954645856796855</v>
      </c>
      <c r="Z39" s="100">
        <v>1.7079311293410253</v>
      </c>
      <c r="AA39" s="101">
        <f t="shared" si="3"/>
        <v>0</v>
      </c>
      <c r="AB39" s="102">
        <f t="shared" si="3"/>
        <v>0</v>
      </c>
      <c r="AC39" s="102">
        <f t="shared" si="3"/>
        <v>0</v>
      </c>
      <c r="AD39" s="102">
        <f t="shared" si="3"/>
        <v>0</v>
      </c>
      <c r="AE39" s="102">
        <f t="shared" si="3"/>
        <v>0</v>
      </c>
      <c r="AF39" s="97">
        <f t="shared" si="3"/>
        <v>0</v>
      </c>
      <c r="AG39" s="95">
        <v>9.1883667613863629E-2</v>
      </c>
      <c r="AH39" s="99">
        <v>0.91647628449474028</v>
      </c>
      <c r="AI39" s="99">
        <v>0.98836523901570206</v>
      </c>
      <c r="AJ39" s="99">
        <v>0.8039956410126724</v>
      </c>
      <c r="AK39" s="99">
        <v>0.91397096711719517</v>
      </c>
      <c r="AL39" s="100">
        <v>0.89436593684765575</v>
      </c>
      <c r="AM39" s="103">
        <f>'aij-UNIFAC (LLE)'!$D25*(1-LN(U39)-AG39)</f>
        <v>3.5420320501190368</v>
      </c>
      <c r="AN39" s="104">
        <f>'aij-UNIFAC (LLE)'!$D25*(1-LN(V39)-AH39)</f>
        <v>-0.87611164730638214</v>
      </c>
      <c r="AO39" s="104">
        <f>'aij-UNIFAC (LLE)'!$D25*(1-LN(W39)-AI39)</f>
        <v>-0.10954701061764216</v>
      </c>
      <c r="AP39" s="104">
        <f>'aij-UNIFAC (LLE)'!$D25*(1-LN(X39)-AJ39)</f>
        <v>-0.20038361091320753</v>
      </c>
      <c r="AQ39" s="104">
        <f>'aij-UNIFAC (LLE)'!$D25*(1-LN(Y39)-AK39)</f>
        <v>-1.1794140665489421</v>
      </c>
      <c r="AR39" s="105">
        <f>'aij-UNIFAC (LLE)'!$D25*(1-LN(Z39)-AL39)</f>
        <v>-0.72352842595801403</v>
      </c>
      <c r="AS39" s="5"/>
      <c r="AT39" s="5"/>
    </row>
    <row r="40" spans="1:46">
      <c r="A40" s="35" t="str">
        <f>'aij-UNIFAC (LLE)'!B26</f>
        <v>CCL3</v>
      </c>
      <c r="B40" s="57"/>
      <c r="C40" s="57"/>
      <c r="D40" s="57"/>
      <c r="E40" s="57"/>
      <c r="F40" s="57"/>
      <c r="G40" s="83">
        <f t="array" ref="G40">SUM(B40:F40*$B$22:$F$22)</f>
        <v>0</v>
      </c>
      <c r="H40" s="36" t="str">
        <f t="shared" si="0"/>
        <v>CCL3</v>
      </c>
      <c r="I40" s="95">
        <f t="shared" si="4"/>
        <v>0</v>
      </c>
      <c r="J40" s="96">
        <f t="shared" si="4"/>
        <v>0</v>
      </c>
      <c r="K40" s="96">
        <f t="shared" si="4"/>
        <v>0</v>
      </c>
      <c r="L40" s="96">
        <f t="shared" si="4"/>
        <v>0</v>
      </c>
      <c r="M40" s="96">
        <f t="shared" si="4"/>
        <v>0</v>
      </c>
      <c r="N40" s="97">
        <f t="shared" si="5"/>
        <v>0</v>
      </c>
      <c r="O40" s="95">
        <f>I40*'aij-UNIFAC (LLE)'!$D26/I$42</f>
        <v>0</v>
      </c>
      <c r="P40" s="96">
        <f>J40*'aij-UNIFAC (LLE)'!$D26/J$42</f>
        <v>0</v>
      </c>
      <c r="Q40" s="96">
        <f>K40*'aij-UNIFAC (LLE)'!$D26/K$42</f>
        <v>0</v>
      </c>
      <c r="R40" s="96">
        <f>L40*'aij-UNIFAC (LLE)'!$D26/L$42</f>
        <v>0</v>
      </c>
      <c r="S40" s="96">
        <f>M40*'aij-UNIFAC (LLE)'!$D26/M$42</f>
        <v>0</v>
      </c>
      <c r="T40" s="98">
        <f>N40*'aij-UNIFAC (LLE)'!$D26/N$42</f>
        <v>0</v>
      </c>
      <c r="U40" s="95">
        <v>0.31650662947543057</v>
      </c>
      <c r="V40" s="96">
        <v>1.0262422434762672</v>
      </c>
      <c r="W40" s="96">
        <v>1.2933750959225938</v>
      </c>
      <c r="X40" s="99">
        <v>1.0890066680137283</v>
      </c>
      <c r="Y40" s="99">
        <v>0.97610819079017197</v>
      </c>
      <c r="Z40" s="100">
        <v>0.96993878082183338</v>
      </c>
      <c r="AA40" s="101">
        <f t="shared" ref="AA40:AF41" si="6">O40/U40</f>
        <v>0</v>
      </c>
      <c r="AB40" s="102">
        <f t="shared" si="6"/>
        <v>0</v>
      </c>
      <c r="AC40" s="102">
        <f t="shared" si="6"/>
        <v>0</v>
      </c>
      <c r="AD40" s="102">
        <f t="shared" si="6"/>
        <v>0</v>
      </c>
      <c r="AE40" s="102">
        <f t="shared" si="6"/>
        <v>0</v>
      </c>
      <c r="AF40" s="97">
        <f t="shared" si="6"/>
        <v>0</v>
      </c>
      <c r="AG40" s="95">
        <v>7.7500399261456021E-2</v>
      </c>
      <c r="AH40" s="99">
        <v>1.031761930668982</v>
      </c>
      <c r="AI40" s="99">
        <v>0.84974666173366764</v>
      </c>
      <c r="AJ40" s="99">
        <v>0.94498228391974715</v>
      </c>
      <c r="AK40" s="99">
        <v>0.93383945090266818</v>
      </c>
      <c r="AL40" s="100">
        <v>0.976082823064086</v>
      </c>
      <c r="AM40" s="103">
        <f>'aij-UNIFAC (LLE)'!$D26*(1-LN(U40)-AG40)</f>
        <v>4.5272369516467066</v>
      </c>
      <c r="AN40" s="104">
        <f>'aij-UNIFAC (LLE)'!$D26*(1-LN(V40)-AH40)</f>
        <v>-0.1259420073953853</v>
      </c>
      <c r="AO40" s="104">
        <f>'aij-UNIFAC (LLE)'!$D26*(1-LN(W40)-AI40)</f>
        <v>-0.2336919679811964</v>
      </c>
      <c r="AP40" s="104">
        <f>'aij-UNIFAC (LLE)'!$D26*(1-LN(X40)-AJ40)</f>
        <v>-6.6062179994209227E-2</v>
      </c>
      <c r="AQ40" s="104">
        <f>'aij-UNIFAC (LLE)'!$D26*(1-LN(Y40)-AK40)</f>
        <v>0.19730779415360916</v>
      </c>
      <c r="AR40" s="105">
        <f>'aij-UNIFAC (LLE)'!$D26*(1-LN(Z40)-AL40)</f>
        <v>0.11889586574417814</v>
      </c>
      <c r="AS40" s="5"/>
      <c r="AT40" s="5"/>
    </row>
    <row r="41" spans="1:46">
      <c r="A41" s="35" t="str">
        <f>'aij-UNIFAC (LLE)'!B27</f>
        <v>ACNH2</v>
      </c>
      <c r="B41" s="57"/>
      <c r="C41" s="57"/>
      <c r="D41" s="57"/>
      <c r="E41" s="57"/>
      <c r="F41" s="57"/>
      <c r="G41" s="83">
        <f t="array" ref="G41">SUM(B41:F41*$B$22:$F$22)</f>
        <v>0</v>
      </c>
      <c r="H41" s="36" t="str">
        <f t="shared" si="0"/>
        <v>ACNH2</v>
      </c>
      <c r="I41" s="107">
        <f t="shared" si="4"/>
        <v>0</v>
      </c>
      <c r="J41" s="108">
        <f t="shared" si="4"/>
        <v>0</v>
      </c>
      <c r="K41" s="108">
        <f t="shared" si="4"/>
        <v>0</v>
      </c>
      <c r="L41" s="108">
        <f t="shared" si="4"/>
        <v>0</v>
      </c>
      <c r="M41" s="108">
        <f t="shared" si="4"/>
        <v>0</v>
      </c>
      <c r="N41" s="109">
        <f t="shared" si="5"/>
        <v>0</v>
      </c>
      <c r="O41" s="107">
        <f>I41*'aij-UNIFAC (LLE)'!$D27/I$42</f>
        <v>0</v>
      </c>
      <c r="P41" s="108">
        <f>J41*'aij-UNIFAC (LLE)'!$D27/J$42</f>
        <v>0</v>
      </c>
      <c r="Q41" s="108">
        <f>K41*'aij-UNIFAC (LLE)'!$D27/K$42</f>
        <v>0</v>
      </c>
      <c r="R41" s="108">
        <f>L41*'aij-UNIFAC (LLE)'!$D27/L$42</f>
        <v>0</v>
      </c>
      <c r="S41" s="108">
        <f>M41*'aij-UNIFAC (LLE)'!$D27/M$42</f>
        <v>0</v>
      </c>
      <c r="T41" s="110">
        <f>N41*'aij-UNIFAC (LLE)'!$D27/N$42</f>
        <v>0</v>
      </c>
      <c r="U41" s="107">
        <v>1.4247868837881006</v>
      </c>
      <c r="V41" s="108">
        <v>0.67606240257267036</v>
      </c>
      <c r="W41" s="108">
        <v>0.33781667307750768</v>
      </c>
      <c r="X41" s="111">
        <v>1.4541726108082567</v>
      </c>
      <c r="Y41" s="111">
        <v>5.4534865870911976E-2</v>
      </c>
      <c r="Z41" s="112">
        <v>0.73545885955605028</v>
      </c>
      <c r="AA41" s="113">
        <f t="shared" si="6"/>
        <v>0</v>
      </c>
      <c r="AB41" s="114">
        <f t="shared" si="6"/>
        <v>0</v>
      </c>
      <c r="AC41" s="114">
        <f t="shared" si="6"/>
        <v>0</v>
      </c>
      <c r="AD41" s="114">
        <f t="shared" si="6"/>
        <v>0</v>
      </c>
      <c r="AE41" s="114">
        <f t="shared" si="6"/>
        <v>0</v>
      </c>
      <c r="AF41" s="109">
        <f t="shared" si="6"/>
        <v>0</v>
      </c>
      <c r="AG41" s="107">
        <v>2.1666328285392735</v>
      </c>
      <c r="AH41" s="111">
        <v>0.64301044313905065</v>
      </c>
      <c r="AI41" s="111">
        <v>1.0455269194307031</v>
      </c>
      <c r="AJ41" s="111">
        <v>0.59507021182417685</v>
      </c>
      <c r="AK41" s="111">
        <v>0.56732525075035889</v>
      </c>
      <c r="AL41" s="112">
        <v>1.243289263739606</v>
      </c>
      <c r="AM41" s="115">
        <f>'aij-UNIFAC (LLE)'!$D27*(1-LN(U41)-AG41)</f>
        <v>-1.2408545418845971</v>
      </c>
      <c r="AN41" s="116">
        <f>'aij-UNIFAC (LLE)'!$D27*(1-LN(V41)-AH41)</f>
        <v>0.61074291329102726</v>
      </c>
      <c r="AO41" s="116">
        <f>'aij-UNIFAC (LLE)'!$D27*(1-LN(W41)-AI41)</f>
        <v>0.84841559882356576</v>
      </c>
      <c r="AP41" s="116">
        <f>'aij-UNIFAC (LLE)'!$D27*(1-LN(X41)-AJ41)</f>
        <v>2.48820445561132E-2</v>
      </c>
      <c r="AQ41" s="116">
        <f>'aij-UNIFAC (LLE)'!$D27*(1-LN(Y41)-AK41)</f>
        <v>2.7267372689327658</v>
      </c>
      <c r="AR41" s="117">
        <f>'aij-UNIFAC (LLE)'!$D27*(1-LN(Z41)-AL41)</f>
        <v>5.2200672279601061E-2</v>
      </c>
      <c r="AS41" s="5"/>
      <c r="AT41" s="5"/>
    </row>
    <row r="42" spans="1:46">
      <c r="A42" s="82" t="s">
        <v>143</v>
      </c>
      <c r="B42" s="83">
        <f>B22*SUM(B24:B41)</f>
        <v>0.26400000000000001</v>
      </c>
      <c r="C42" s="83">
        <f>C22*SUM(C24:C41)</f>
        <v>6.6239999999999997</v>
      </c>
      <c r="D42" s="83">
        <f>D22*SUM(D24:D41)</f>
        <v>8.9999999999999991E-20</v>
      </c>
      <c r="E42" s="83">
        <f>E22*SUM(E24:E41)</f>
        <v>2.9999999999999997E-20</v>
      </c>
      <c r="F42" s="83">
        <f>F22*SUM(F24:F41)</f>
        <v>4.9999999999999999E-20</v>
      </c>
      <c r="G42" s="83">
        <f>SUM(B42:F42)</f>
        <v>6.8879999999999999</v>
      </c>
      <c r="H42" s="118" t="s">
        <v>144</v>
      </c>
      <c r="I42" s="36">
        <f t="array" ref="I42">SUM(I24:I41*_QL)</f>
        <v>1.4</v>
      </c>
      <c r="J42" s="36">
        <f t="array" ref="J42">SUM(J24:J41*_QL)</f>
        <v>0.64755555555555555</v>
      </c>
      <c r="K42" s="36">
        <f t="array" ref="K42">SUM(K24:K41*_QL)</f>
        <v>0.61466666666666658</v>
      </c>
      <c r="L42" s="36">
        <f t="array" ref="L42">SUM(L24:L41*_QL)</f>
        <v>0.86266666666666658</v>
      </c>
      <c r="M42" s="36">
        <f t="array" ref="M42">SUM(M24:M41*_QL)</f>
        <v>0.66320000000000001</v>
      </c>
      <c r="N42" s="36">
        <f t="array" ref="N42">SUM(N24:N41*_QL)</f>
        <v>0.6763948896631824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 t="s">
        <v>145</v>
      </c>
      <c r="B43" s="119">
        <f>SUM(B24:B41)</f>
        <v>1</v>
      </c>
      <c r="C43" s="119">
        <f>SUM(C24:C41)</f>
        <v>9</v>
      </c>
      <c r="D43" s="119">
        <f>SUM(D24:D41)</f>
        <v>9</v>
      </c>
      <c r="E43" s="119">
        <f>SUM(E24:E41)</f>
        <v>3</v>
      </c>
      <c r="F43" s="119">
        <f>SUM(F24:F41)</f>
        <v>5</v>
      </c>
      <c r="G43" s="120"/>
      <c r="H43" s="34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35"/>
      <c r="B44" s="119"/>
      <c r="C44" s="119"/>
      <c r="D44" s="119"/>
      <c r="E44" s="119"/>
      <c r="F44" s="119"/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72" t="s">
        <v>44</v>
      </c>
      <c r="B45" s="58">
        <f t="array" ref="B45">SUM(B24:B41*_QL)</f>
        <v>1.4</v>
      </c>
      <c r="C45" s="58">
        <f t="array" ref="C45">SUM(C24:C41*_QL)</f>
        <v>5.8280000000000003</v>
      </c>
      <c r="D45" s="58">
        <f t="array" ref="D45">SUM(D24:D41*_QL)</f>
        <v>5.532</v>
      </c>
      <c r="E45" s="58">
        <f t="array" ref="E45">SUM(E24:E41*_QL)</f>
        <v>2.5880000000000001</v>
      </c>
      <c r="F45" s="58">
        <f t="array" ref="F45">SUM(F24:F41*_QL)</f>
        <v>3.3159999999999998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35" t="s">
        <v>43</v>
      </c>
      <c r="B46" s="58">
        <f t="array" ref="B46">SUM(B24:B41*_RL)</f>
        <v>0.92</v>
      </c>
      <c r="C46" s="58">
        <f t="array" ref="C46">SUM(C24:C41*_RL)</f>
        <v>6.6219000000000001</v>
      </c>
      <c r="D46" s="58">
        <f t="array" ref="D46">SUM(D24:D41*_RL)</f>
        <v>7.0811999999999991</v>
      </c>
      <c r="E46" s="58">
        <f t="array" ref="E46">SUM(E24:E41*_RL)</f>
        <v>2.5754999999999999</v>
      </c>
      <c r="F46" s="58">
        <f t="array" ref="F46">SUM(F24:F41*_RL)</f>
        <v>3.8254000000000001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146</v>
      </c>
      <c r="B47" s="58">
        <f>B22*B45/SUMPRODUCT($B45:$F45,$B22:$F22)</f>
        <v>7.9330192178249104E-2</v>
      </c>
      <c r="C47" s="58">
        <f>C22*C45/SUMPRODUCT($B45:$F45,$B22:$F22)</f>
        <v>0.9206698078217509</v>
      </c>
      <c r="D47" s="58">
        <f>D22*D45/SUMPRODUCT($B45:$F45,$B22:$F22)</f>
        <v>1.1873772270835335E-20</v>
      </c>
      <c r="E47" s="58">
        <f>E22*E45/SUMPRODUCT($B45:$F45,$B22:$F22)</f>
        <v>5.5548305562042389E-21</v>
      </c>
      <c r="F47" s="58">
        <f>F22*F45/SUMPRODUCT($B45:$F45,$B22:$F22)</f>
        <v>7.1173949475939933E-21</v>
      </c>
      <c r="G47" s="121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82" t="s">
        <v>147</v>
      </c>
      <c r="B48" s="58">
        <f>B22*B46/SUMPRODUCT($B46:$F46,$B22:$F22)</f>
        <v>4.7469037241617405E-2</v>
      </c>
      <c r="C48" s="58">
        <f>C22*C46/SUMPRODUCT($B46:$F46,$B22:$F22)</f>
        <v>0.95253096275838256</v>
      </c>
      <c r="D48" s="58">
        <f>D22*D46/SUMPRODUCT($B46:$F46,$B22:$F22)</f>
        <v>1.3839663476422144E-20</v>
      </c>
      <c r="E48" s="58">
        <f>E22*E46/SUMPRODUCT($B46:$F46,$B22:$F22)</f>
        <v>5.0336176472243737E-21</v>
      </c>
      <c r="F48" s="58">
        <f>F22*F46/SUMPRODUCT($B46:$F46,$B22:$F22)</f>
        <v>7.4764515424935438E-21</v>
      </c>
      <c r="G48" s="121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 s="5"/>
      <c r="AT48" s="5"/>
    </row>
    <row r="49" spans="1:9">
      <c r="A49" s="72" t="s">
        <v>148</v>
      </c>
      <c r="B49" s="58">
        <f>LN(B48/B22)+(1-B48/B22)-5*B45*(LN(B48/B47)+(1-B48/B47))</f>
        <v>-0.11228013133213743</v>
      </c>
      <c r="C49" s="58">
        <f>LN(C48/C22)+(1-C48/C22)-5*C45*(LN(C48/C47)+(1-C48/C47))</f>
        <v>-1.9250415174759901E-2</v>
      </c>
      <c r="D49" s="58">
        <f>LN(D48/D22)+(1-D48/D22)-5*D45*(LN(D48/D47)+(1-D48/D47))</f>
        <v>0.28284191439037776</v>
      </c>
      <c r="E49" s="58">
        <f>LN(E48/E22)+(1-E48/E22)-5*E45*(LN(E48/E47)+(1-E48/E47))</f>
        <v>-0.12901047395773452</v>
      </c>
      <c r="F49" s="58">
        <f>LN(F48/F22)+(1-F48/F22)-5*F45*(LN(F48/F47)+(1-F48/F47))</f>
        <v>-1.8057862342759291E-2</v>
      </c>
      <c r="G49" s="121"/>
      <c r="I49" s="122"/>
    </row>
    <row r="50" spans="1:9">
      <c r="A50" s="72" t="s">
        <v>149</v>
      </c>
      <c r="B50" s="58">
        <f t="array" ref="B50">SUM(B24:B36*AM24:AM36)</f>
        <v>0</v>
      </c>
      <c r="C50" s="58">
        <f t="array" ref="C50">SUM(C24:C36*AN24:AN36)</f>
        <v>2.0920296427248477</v>
      </c>
      <c r="D50" s="58">
        <f t="array" ref="D50">SUM(D24:D36*AO24:AO36)</f>
        <v>1.323402417177389</v>
      </c>
      <c r="E50" s="58">
        <f t="array" ref="E50">SUM(E24:E36*AP24:AP36)</f>
        <v>1.2605797898195676</v>
      </c>
      <c r="F50" s="58">
        <f t="array" ref="F50">SUM(F24:F36*AQ24:AQ36)</f>
        <v>0</v>
      </c>
      <c r="G50" s="121"/>
    </row>
    <row r="51" spans="1:9">
      <c r="A51" s="72" t="s">
        <v>150</v>
      </c>
      <c r="B51" s="58">
        <f t="array" ref="B51">SUM(B24:B36*$AR24:$AR36)</f>
        <v>1.4470711243424765</v>
      </c>
      <c r="C51" s="58">
        <f t="array" ref="C51">SUM(C24:C36*$AR24:$AR36)</f>
        <v>2.1549495327542898</v>
      </c>
      <c r="D51" s="58">
        <f t="array" ref="D51">SUM(D24:D36*$AR24:$AR36)</f>
        <v>1.3975977452706079</v>
      </c>
      <c r="E51" s="58">
        <f t="array" ref="E51">SUM(E24:E36*$AR24:$AR36)</f>
        <v>1.3696102553227409</v>
      </c>
      <c r="F51" s="58">
        <f t="array" ref="F51">SUM(F24:F36*$AR24:$AR36)</f>
        <v>0.80376081603796745</v>
      </c>
    </row>
  </sheetData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1">
    <pageSetUpPr fitToPage="1"/>
  </sheetPr>
  <dimension ref="A1:AV50"/>
  <sheetViews>
    <sheetView showGridLines="0" workbookViewId="0"/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6">
      <c r="A1" s="144" t="s">
        <v>302</v>
      </c>
      <c r="B1" s="144"/>
      <c r="C1" s="144"/>
    </row>
    <row r="2" spans="1:46">
      <c r="A2" s="144" t="s">
        <v>301</v>
      </c>
      <c r="B2" s="144"/>
      <c r="C2" s="144"/>
    </row>
    <row r="3" spans="1:46">
      <c r="A3" s="144" t="s">
        <v>299</v>
      </c>
      <c r="B3" s="144"/>
      <c r="C3" s="144"/>
    </row>
    <row r="4" spans="1:46">
      <c r="A4" s="144" t="s">
        <v>300</v>
      </c>
      <c r="B4" s="144"/>
      <c r="C4" s="144"/>
    </row>
    <row r="5" spans="1:46">
      <c r="A5" s="144"/>
      <c r="B5" s="144"/>
      <c r="C5" s="144"/>
    </row>
    <row r="6" spans="1:46">
      <c r="A6" s="144"/>
      <c r="B6" s="144"/>
      <c r="C6" s="144"/>
    </row>
    <row r="7" spans="1:46">
      <c r="A7" s="144"/>
      <c r="B7" s="144"/>
      <c r="C7" s="144"/>
    </row>
    <row r="8" spans="1:46" s="33" customFormat="1">
      <c r="A8" s="144"/>
      <c r="B8" s="144"/>
      <c r="C8" s="144"/>
      <c r="D8" s="46" t="s">
        <v>113</v>
      </c>
      <c r="E8" s="47" t="s">
        <v>114</v>
      </c>
      <c r="F8" s="47"/>
      <c r="G8" s="49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AD8" s="34"/>
      <c r="AI8" s="34"/>
      <c r="AN8"/>
      <c r="AS8" s="52"/>
    </row>
    <row r="9" spans="1:46">
      <c r="A9" s="144" t="s">
        <v>115</v>
      </c>
      <c r="B9" s="144">
        <f t="array" ref="B9">SUM(B21:F21*B22:F22*B16:F16)</f>
        <v>138.57313562806218</v>
      </c>
      <c r="C9" s="144" t="s">
        <v>116</v>
      </c>
      <c r="D9" s="48" t="s">
        <v>117</v>
      </c>
      <c r="E9" s="49"/>
      <c r="F9" s="49"/>
      <c r="G9" s="49"/>
      <c r="X9" s="35"/>
      <c r="AN9"/>
      <c r="AS9" s="188" t="s">
        <v>118</v>
      </c>
    </row>
    <row r="10" spans="1:46">
      <c r="A10" s="144" t="s">
        <v>178</v>
      </c>
      <c r="B10" s="192">
        <f>'UNIFAC (LLEa)'!TC.</f>
        <v>37</v>
      </c>
      <c r="C10" s="146" t="s">
        <v>119</v>
      </c>
      <c r="D10" s="50" t="s">
        <v>120</v>
      </c>
      <c r="E10" s="51"/>
      <c r="F10" s="51"/>
      <c r="G10" s="49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7"/>
      <c r="AD10" s="37"/>
      <c r="AI10" s="37"/>
      <c r="AN10"/>
      <c r="AS10" s="189"/>
    </row>
    <row r="11" spans="1:46" s="33" customFormat="1">
      <c r="A11" s="144" t="s">
        <v>121</v>
      </c>
      <c r="B11" s="144"/>
      <c r="C11" s="144"/>
      <c r="D11" s="32"/>
      <c r="E11" s="32"/>
      <c r="F11" s="32"/>
      <c r="G11" s="3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AD11" s="34"/>
      <c r="AI11" s="34"/>
      <c r="AS11" s="5"/>
    </row>
    <row r="12" spans="1:46" s="72" customFormat="1" ht="11">
      <c r="B12" s="36" t="s">
        <v>122</v>
      </c>
      <c r="C12" s="36" t="s">
        <v>123</v>
      </c>
      <c r="D12" s="36" t="s">
        <v>124</v>
      </c>
      <c r="E12" s="36" t="s">
        <v>125</v>
      </c>
      <c r="F12" s="36" t="s">
        <v>126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AS12" s="35"/>
      <c r="AT12" s="35"/>
    </row>
    <row r="13" spans="1:46" s="72" customFormat="1" ht="11">
      <c r="A13" s="35" t="s">
        <v>127</v>
      </c>
      <c r="B13" s="193">
        <f>'UNIFAC (LLEa)'!B14</f>
        <v>8.0713100000000004</v>
      </c>
      <c r="C13" s="193">
        <f>'UNIFAC (LLEa)'!C14</f>
        <v>7.280662108153515</v>
      </c>
      <c r="D13" s="193">
        <f>'UNIFAC (LLEa)'!D14</f>
        <v>0</v>
      </c>
      <c r="E13" s="193">
        <f>'UNIFAC (LLEa)'!E14</f>
        <v>0</v>
      </c>
      <c r="F13" s="193">
        <f>'UNIFAC (LLEa)'!F14</f>
        <v>0</v>
      </c>
      <c r="G13" s="74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AD13" s="36"/>
      <c r="AI13" s="36"/>
      <c r="AS13" s="35"/>
      <c r="AT13" s="35"/>
    </row>
    <row r="14" spans="1:46" s="72" customFormat="1" ht="11">
      <c r="A14" s="35" t="s">
        <v>128</v>
      </c>
      <c r="B14" s="193">
        <f>'UNIFAC (LLEa)'!B15</f>
        <v>1730.63</v>
      </c>
      <c r="C14" s="193">
        <f>'UNIFAC (LLEa)'!C15</f>
        <v>1434.2010693621778</v>
      </c>
      <c r="D14" s="193">
        <f>'UNIFAC (LLEa)'!D15</f>
        <v>0</v>
      </c>
      <c r="E14" s="193">
        <f>'UNIFAC (LLEa)'!E15</f>
        <v>0</v>
      </c>
      <c r="F14" s="193">
        <f>'UNIFAC (LLEa)'!F15</f>
        <v>0</v>
      </c>
      <c r="G14" s="75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82" t="s">
        <v>239</v>
      </c>
    </row>
    <row r="15" spans="1:46" s="72" customFormat="1" ht="11">
      <c r="A15" s="35" t="s">
        <v>129</v>
      </c>
      <c r="B15" s="193">
        <f>'UNIFAC (LLEa)'!B16</f>
        <v>233.42599999999999</v>
      </c>
      <c r="C15" s="193">
        <f>'UNIFAC (LLEa)'!C16</f>
        <v>246.49904574755209</v>
      </c>
      <c r="D15" s="193">
        <f>'UNIFAC (LLEa)'!D16</f>
        <v>0</v>
      </c>
      <c r="E15" s="193">
        <f>'UNIFAC (LLEa)'!E16</f>
        <v>0</v>
      </c>
      <c r="F15" s="193">
        <f>'UNIFAC (LLEa)'!F16</f>
        <v>0</v>
      </c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/>
    </row>
    <row r="16" spans="1:46" s="35" customFormat="1" ht="13">
      <c r="A16" s="35" t="s">
        <v>130</v>
      </c>
      <c r="B16" s="193">
        <f>'UNIFAC (LLEa)'!B17</f>
        <v>46.953338226865689</v>
      </c>
      <c r="C16" s="193">
        <f>'UNIFAC (LLEa)'!C17</f>
        <v>166.62293586268873</v>
      </c>
      <c r="D16" s="193">
        <f>'UNIFAC (LLEa)'!D17</f>
        <v>1</v>
      </c>
      <c r="E16" s="193">
        <f>'UNIFAC (LLEa)'!E17</f>
        <v>1</v>
      </c>
      <c r="F16" s="193">
        <f>'UNIFAC (LLEa)'!F17</f>
        <v>1</v>
      </c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</row>
    <row r="17" spans="1:48" s="35" customFormat="1" ht="11">
      <c r="A17" s="35" t="s">
        <v>131</v>
      </c>
      <c r="B17" s="194">
        <f>'UNIFAC (LLEa)'!B18</f>
        <v>0.26879623191117596</v>
      </c>
      <c r="C17" s="194">
        <f>'UNIFAC (LLEa)'!C18</f>
        <v>0.73120376808882404</v>
      </c>
      <c r="D17" s="194">
        <f>'UNIFAC (LLEa)'!D18</f>
        <v>8.1567981696324553E-23</v>
      </c>
      <c r="E17" s="194">
        <f>'UNIFAC (LLEa)'!E18</f>
        <v>5.5947824599978185E-23</v>
      </c>
      <c r="F17" s="194">
        <f>'UNIFAC (LLEa)'!F18</f>
        <v>1.2522379731530524E-22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8" s="35" customFormat="1" ht="11">
      <c r="B18" s="76"/>
      <c r="C18" s="76"/>
      <c r="D18" s="75"/>
      <c r="E18" s="75"/>
      <c r="F18" s="75"/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</row>
    <row r="19" spans="1:48" s="35" customFormat="1" ht="11">
      <c r="B19" s="36" t="s">
        <v>122</v>
      </c>
      <c r="C19" s="36" t="s">
        <v>123</v>
      </c>
      <c r="D19" s="36" t="s">
        <v>124</v>
      </c>
      <c r="E19" s="36" t="s">
        <v>125</v>
      </c>
      <c r="F19" s="36" t="s">
        <v>126</v>
      </c>
      <c r="G19" s="36"/>
      <c r="H19" s="36"/>
      <c r="I19" s="77"/>
      <c r="J19" s="77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48" s="72" customFormat="1" ht="13">
      <c r="A20" s="35"/>
      <c r="B20" s="261" t="str">
        <f>'UNIFAC (LLEa)'!B21</f>
        <v>Water</v>
      </c>
      <c r="C20" s="261" t="str">
        <f>'UNIFAC (LLEa)'!C21</f>
        <v>n-octanol</v>
      </c>
      <c r="D20" s="261" t="str">
        <f>'UNIFAC (LLEa)'!D21</f>
        <v>Drug</v>
      </c>
      <c r="E20" s="262" t="str">
        <f>'UNIFAC (LLEa)'!E21</f>
        <v>EtOH</v>
      </c>
      <c r="F20" s="261" t="str">
        <f>'UNIFAC (LLEa)'!F21</f>
        <v>C5H12</v>
      </c>
      <c r="G20" s="78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 s="137"/>
      <c r="AT20" s="35"/>
    </row>
    <row r="21" spans="1:48" s="72" customFormat="1" ht="15">
      <c r="A21" s="72" t="s">
        <v>85</v>
      </c>
      <c r="B21" s="55">
        <v>0.77291631056509436</v>
      </c>
      <c r="C21" s="55">
        <v>0.13900001042726937</v>
      </c>
      <c r="D21" s="55">
        <v>8.8083679007636306E-2</v>
      </c>
      <c r="E21" s="55">
        <v>9.9999999999999995E-21</v>
      </c>
      <c r="F21" s="55">
        <v>9.9999999999999995E-21</v>
      </c>
      <c r="G21" s="79"/>
      <c r="H21" s="36"/>
      <c r="I21"/>
      <c r="J21"/>
      <c r="K21" s="36" t="s">
        <v>134</v>
      </c>
      <c r="L21" s="36"/>
      <c r="M21"/>
      <c r="N21"/>
      <c r="O21"/>
      <c r="P21"/>
      <c r="Q21" s="80" t="s">
        <v>135</v>
      </c>
      <c r="R21" s="36"/>
      <c r="S21" s="36"/>
      <c r="T21" s="36"/>
      <c r="U21"/>
      <c r="V21" s="35"/>
      <c r="W21" s="81" t="s">
        <v>136</v>
      </c>
      <c r="X21" s="36"/>
      <c r="Y21" s="35"/>
      <c r="Z21" s="35"/>
      <c r="AA21"/>
      <c r="AB21" s="36"/>
      <c r="AC21" s="81" t="s">
        <v>137</v>
      </c>
      <c r="AD21" s="35"/>
      <c r="AE21" s="35"/>
      <c r="AF21" s="35"/>
      <c r="AG21" s="36"/>
      <c r="AH21" s="36"/>
      <c r="AI21" s="81" t="s">
        <v>138</v>
      </c>
      <c r="AJ21" s="35"/>
      <c r="AK21" s="35"/>
      <c r="AM21"/>
      <c r="AO21" s="72" t="s">
        <v>139</v>
      </c>
      <c r="AS21" s="35"/>
      <c r="AT21" s="35"/>
    </row>
    <row r="22" spans="1:48" s="72" customFormat="1" ht="13">
      <c r="A22" s="82" t="s">
        <v>140</v>
      </c>
      <c r="B22" s="56">
        <f>EXP(B50-B49+B48)</f>
        <v>1.7711445797734491</v>
      </c>
      <c r="C22" s="56">
        <f>EXP(C50-C49+C48)</f>
        <v>3.186530304469235</v>
      </c>
      <c r="D22" s="56">
        <f>EXP(D50-D49+D48)</f>
        <v>5.6151680585990578</v>
      </c>
      <c r="E22" s="56">
        <f>EXP(E50-E49+E48)</f>
        <v>0.82786060050157684</v>
      </c>
      <c r="F22" s="56">
        <f>EXP(F50-F49+F48)</f>
        <v>15.947961325257371</v>
      </c>
      <c r="G22" s="82" t="s">
        <v>141</v>
      </c>
      <c r="H22" s="36"/>
      <c r="I22" s="77">
        <v>1</v>
      </c>
      <c r="J22" s="77">
        <v>2</v>
      </c>
      <c r="K22" s="77">
        <v>3</v>
      </c>
      <c r="L22" s="36">
        <v>4</v>
      </c>
      <c r="M22" s="77">
        <v>5</v>
      </c>
      <c r="N22" s="77" t="s">
        <v>142</v>
      </c>
      <c r="O22" s="77">
        <v>1</v>
      </c>
      <c r="P22" s="77">
        <v>2</v>
      </c>
      <c r="Q22" s="77">
        <v>3</v>
      </c>
      <c r="R22" s="36">
        <v>4</v>
      </c>
      <c r="S22" s="77">
        <v>5</v>
      </c>
      <c r="T22" s="77" t="s">
        <v>142</v>
      </c>
      <c r="U22" s="77">
        <v>1</v>
      </c>
      <c r="V22" s="77">
        <v>2</v>
      </c>
      <c r="W22" s="77">
        <v>3</v>
      </c>
      <c r="X22" s="36">
        <v>4</v>
      </c>
      <c r="Y22" s="77">
        <v>5</v>
      </c>
      <c r="Z22" s="77" t="s">
        <v>142</v>
      </c>
      <c r="AA22" s="77">
        <v>1</v>
      </c>
      <c r="AB22" s="77">
        <v>2</v>
      </c>
      <c r="AC22" s="77">
        <v>3</v>
      </c>
      <c r="AD22" s="36">
        <v>4</v>
      </c>
      <c r="AE22" s="77">
        <v>5</v>
      </c>
      <c r="AF22" s="77" t="s">
        <v>142</v>
      </c>
      <c r="AG22" s="77">
        <v>1</v>
      </c>
      <c r="AH22" s="77">
        <v>2</v>
      </c>
      <c r="AI22" s="77">
        <v>3</v>
      </c>
      <c r="AJ22" s="36">
        <v>4</v>
      </c>
      <c r="AK22" s="77">
        <v>5</v>
      </c>
      <c r="AL22" s="77" t="s">
        <v>142</v>
      </c>
      <c r="AM22" s="77">
        <v>1</v>
      </c>
      <c r="AN22" s="77">
        <v>2</v>
      </c>
      <c r="AO22" s="77">
        <v>3</v>
      </c>
      <c r="AP22" s="36">
        <v>4</v>
      </c>
      <c r="AQ22" s="77">
        <v>5</v>
      </c>
      <c r="AR22" s="77" t="s">
        <v>142</v>
      </c>
      <c r="AS22" s="35"/>
      <c r="AT22" s="142"/>
    </row>
    <row r="23" spans="1:48" s="72" customFormat="1" ht="11">
      <c r="A23" s="35" t="str">
        <f>'aij-UNIFAC (LLE)'!B10</f>
        <v>CH3</v>
      </c>
      <c r="B23" s="193">
        <f>'UNIFAC (LLEa)'!B24</f>
        <v>0</v>
      </c>
      <c r="C23" s="193">
        <f>'UNIFAC (LLEa)'!C24</f>
        <v>1</v>
      </c>
      <c r="D23" s="193">
        <f>'UNIFAC (LLEa)'!D24</f>
        <v>1</v>
      </c>
      <c r="E23" s="193">
        <f>'UNIFAC (LLEa)'!E24</f>
        <v>1</v>
      </c>
      <c r="F23" s="193">
        <f>'UNIFAC (LLEa)'!F24</f>
        <v>2</v>
      </c>
      <c r="G23" s="83">
        <f t="array" ref="G23">SUM(B23:F23*$B$21:$F$21)</f>
        <v>0.22708368943490567</v>
      </c>
      <c r="H23" s="36" t="str">
        <f t="shared" ref="H23:H40" si="0">A23</f>
        <v>CH3</v>
      </c>
      <c r="I23" s="84">
        <f t="shared" ref="I23:I40" si="1">B23/B$42</f>
        <v>0</v>
      </c>
      <c r="J23" s="85">
        <f t="shared" ref="J23:J40" si="2">C23/C$42</f>
        <v>0.1111111111111111</v>
      </c>
      <c r="K23" s="85">
        <f t="shared" ref="K23:K40" si="3">D23/D$42</f>
        <v>0.1111111111111111</v>
      </c>
      <c r="L23" s="85">
        <f t="shared" ref="L23:L40" si="4">E23/E$42</f>
        <v>0.33333333333333331</v>
      </c>
      <c r="M23" s="85">
        <f t="shared" ref="M23:M40" si="5">F23/F$42</f>
        <v>0.4</v>
      </c>
      <c r="N23" s="86">
        <f t="shared" ref="N23:N40" si="6">G23/$G$41</f>
        <v>8.0621346660283741E-2</v>
      </c>
      <c r="O23" s="84">
        <f>I23*'aij-UNIFAC (LLE)'!$D10/I$41</f>
        <v>0</v>
      </c>
      <c r="P23" s="85">
        <f>J23*'aij-UNIFAC (LLE)'!$D10/J$41</f>
        <v>0.14550446122168839</v>
      </c>
      <c r="Q23" s="85">
        <f>K23*'aij-UNIFAC (LLE)'!$D10/K$41</f>
        <v>0.15328994938539409</v>
      </c>
      <c r="R23" s="85">
        <f>L23*'aij-UNIFAC (LLE)'!$D10/L$41</f>
        <v>0.32766615146831529</v>
      </c>
      <c r="S23" s="85">
        <f>M23*'aij-UNIFAC (LLE)'!$D10/M$41</f>
        <v>0.51145958986730999</v>
      </c>
      <c r="T23" s="87">
        <f>N23*'aij-UNIFAC (LLE)'!$D10/N$41</f>
        <v>8.092906363931246E-2</v>
      </c>
      <c r="U23" s="84">
        <f t="array" ref="U23:Z40">MMULT(TRANSPOSE(tauL),O23:T40)</f>
        <v>0.33154824509283004</v>
      </c>
      <c r="V23" s="88">
        <v>0.86556228057111506</v>
      </c>
      <c r="W23" s="85">
        <v>0.59673706010593985</v>
      </c>
      <c r="X23" s="85">
        <v>0.6972553984422174</v>
      </c>
      <c r="Y23" s="88">
        <v>1</v>
      </c>
      <c r="Z23" s="89">
        <v>0.56766186325069201</v>
      </c>
      <c r="AA23" s="90">
        <f t="shared" ref="AA23:AA40" si="7">O23/U23</f>
        <v>0</v>
      </c>
      <c r="AB23" s="91">
        <f t="shared" ref="AB23:AB40" si="8">P23/V23</f>
        <v>0.16810397644139677</v>
      </c>
      <c r="AC23" s="91">
        <f t="shared" ref="AC23:AC40" si="9">Q23/W23</f>
        <v>0.2568802235245457</v>
      </c>
      <c r="AD23" s="91">
        <f t="shared" ref="AD23:AD40" si="10">R23/X23</f>
        <v>0.46993705921872397</v>
      </c>
      <c r="AE23" s="91">
        <f t="shared" ref="AE23:AE40" si="11">S23/Y23</f>
        <v>0.51145958986730999</v>
      </c>
      <c r="AF23" s="86">
        <f t="shared" ref="AF23:AF40" si="12">T23/Z23</f>
        <v>0.14256561674916041</v>
      </c>
      <c r="AG23" s="84">
        <f t="array" ref="AG23:AL40">MMULT(tauL,AA23:AF40)</f>
        <v>1.5123276497361903E-2</v>
      </c>
      <c r="AH23" s="85">
        <v>1.0018382918573432</v>
      </c>
      <c r="AI23" s="88">
        <v>1.4159558603175277</v>
      </c>
      <c r="AJ23" s="88">
        <v>0.87850374848467749</v>
      </c>
      <c r="AK23" s="88">
        <v>1</v>
      </c>
      <c r="AL23" s="89">
        <v>0.78366461272770849</v>
      </c>
      <c r="AM23" s="92">
        <f>'aij-UNIFAC (LLE)'!$D10*(1-LN(U23)-AG23)</f>
        <v>1.7713521502292535</v>
      </c>
      <c r="AN23" s="93">
        <f>'aij-UNIFAC (LLE)'!$D10*(1-LN(V23)-AH23)</f>
        <v>0.12087193231517514</v>
      </c>
      <c r="AO23" s="93">
        <f>'aij-UNIFAC (LLE)'!$D10*(1-LN(W23)-AI23)</f>
        <v>8.5073766306484513E-2</v>
      </c>
      <c r="AP23" s="93">
        <f>'aij-UNIFAC (LLE)'!$D10*(1-LN(X23)-AJ23)</f>
        <v>0.40882059778816626</v>
      </c>
      <c r="AQ23" s="93">
        <f>'aij-UNIFAC (LLE)'!$D10*(1-LN(Y23)-AK23)</f>
        <v>0</v>
      </c>
      <c r="AR23" s="94">
        <f>'aij-UNIFAC (LLE)'!$D10*(1-LN(Z23)-AL23)</f>
        <v>0.66361489611077928</v>
      </c>
      <c r="AS23" s="35"/>
      <c r="AT23" s="137"/>
      <c r="AU23" s="138"/>
      <c r="AV23" s="142"/>
    </row>
    <row r="24" spans="1:48" s="72" customFormat="1" ht="11">
      <c r="A24" s="35" t="str">
        <f>'aij-UNIFAC (LLE)'!B11</f>
        <v>CH2</v>
      </c>
      <c r="B24" s="193">
        <f>'UNIFAC (LLEa)'!B25</f>
        <v>0</v>
      </c>
      <c r="C24" s="193">
        <f>'UNIFAC (LLEa)'!C25</f>
        <v>7</v>
      </c>
      <c r="D24" s="193">
        <f>'UNIFAC (LLEa)'!D25</f>
        <v>1</v>
      </c>
      <c r="E24" s="193">
        <f>'UNIFAC (LLEa)'!E25</f>
        <v>1</v>
      </c>
      <c r="F24" s="193">
        <f>'UNIFAC (LLEa)'!F25</f>
        <v>3</v>
      </c>
      <c r="G24" s="83">
        <f t="array" ref="G24">SUM(B24:F24*$B$21:$F$21)</f>
        <v>1.0610837519985219</v>
      </c>
      <c r="H24" s="36" t="str">
        <f t="shared" si="0"/>
        <v>CH2</v>
      </c>
      <c r="I24" s="95">
        <f t="shared" si="1"/>
        <v>0</v>
      </c>
      <c r="J24" s="96">
        <f t="shared" si="2"/>
        <v>0.77777777777777779</v>
      </c>
      <c r="K24" s="96">
        <f t="shared" si="3"/>
        <v>0.1111111111111111</v>
      </c>
      <c r="L24" s="96">
        <f t="shared" si="4"/>
        <v>0.33333333333333331</v>
      </c>
      <c r="M24" s="96">
        <f t="shared" si="5"/>
        <v>0.6</v>
      </c>
      <c r="N24" s="97">
        <f t="shared" si="6"/>
        <v>0.37671574395478297</v>
      </c>
      <c r="O24" s="95">
        <f>I24*'aij-UNIFAC (LLE)'!$D11/I$41</f>
        <v>0</v>
      </c>
      <c r="P24" s="96">
        <f>J24*'aij-UNIFAC (LLE)'!$D11/J$41</f>
        <v>0.64859299931365821</v>
      </c>
      <c r="Q24" s="96">
        <f>K24*'aij-UNIFAC (LLE)'!$D11/K$41</f>
        <v>9.7613882863340579E-2</v>
      </c>
      <c r="R24" s="96">
        <f>L24*'aij-UNIFAC (LLE)'!$D11/L$41</f>
        <v>0.20865533230293665</v>
      </c>
      <c r="S24" s="96">
        <f>M24*'aij-UNIFAC (LLE)'!$D11/M$41</f>
        <v>0.48854041013269001</v>
      </c>
      <c r="T24" s="98">
        <f>N24*'aij-UNIFAC (LLE)'!$D11/N$41</f>
        <v>0.24080535801675756</v>
      </c>
      <c r="U24" s="95">
        <v>0.33154824509283004</v>
      </c>
      <c r="V24" s="99">
        <v>0.86556228057111506</v>
      </c>
      <c r="W24" s="96">
        <v>0.59673706010593985</v>
      </c>
      <c r="X24" s="96">
        <v>0.6972553984422174</v>
      </c>
      <c r="Y24" s="99">
        <v>1</v>
      </c>
      <c r="Z24" s="100">
        <v>0.56766186325069201</v>
      </c>
      <c r="AA24" s="101">
        <f t="shared" si="7"/>
        <v>0</v>
      </c>
      <c r="AB24" s="102">
        <f t="shared" si="8"/>
        <v>0.74933140442037716</v>
      </c>
      <c r="AC24" s="102">
        <f t="shared" si="9"/>
        <v>0.16357938762176261</v>
      </c>
      <c r="AD24" s="102">
        <f t="shared" si="10"/>
        <v>0.29925237261569687</v>
      </c>
      <c r="AE24" s="102">
        <f t="shared" si="11"/>
        <v>0.48854041013269001</v>
      </c>
      <c r="AF24" s="97">
        <f t="shared" si="12"/>
        <v>0.42420562945306156</v>
      </c>
      <c r="AG24" s="95">
        <v>1.5123276497361903E-2</v>
      </c>
      <c r="AH24" s="96">
        <v>1.0018382918573432</v>
      </c>
      <c r="AI24" s="99">
        <v>1.4159558603175277</v>
      </c>
      <c r="AJ24" s="99">
        <v>0.87850374848467749</v>
      </c>
      <c r="AK24" s="99">
        <v>1</v>
      </c>
      <c r="AL24" s="100">
        <v>0.78366461272770849</v>
      </c>
      <c r="AM24" s="103">
        <f>'aij-UNIFAC (LLE)'!$D11*(1-LN(U24)-AG24)</f>
        <v>1.1279836805705152</v>
      </c>
      <c r="AN24" s="104">
        <f>'aij-UNIFAC (LLE)'!$D11*(1-LN(V24)-AH24)</f>
        <v>7.6970334257304929E-2</v>
      </c>
      <c r="AO24" s="104">
        <f>'aij-UNIFAC (LLE)'!$D11*(1-LN(W24)-AI24)</f>
        <v>5.4174332317808542E-2</v>
      </c>
      <c r="AP24" s="104">
        <f>'aij-UNIFAC (LLE)'!$D11*(1-LN(X24)-AJ24)</f>
        <v>0.26033387123303042</v>
      </c>
      <c r="AQ24" s="104">
        <f>'aij-UNIFAC (LLE)'!$D11*(1-LN(Y24)-AK24)</f>
        <v>0</v>
      </c>
      <c r="AR24" s="105">
        <f>'aij-UNIFAC (LLE)'!$D11*(1-LN(Z24)-AL24)</f>
        <v>0.42258495742903401</v>
      </c>
      <c r="AS24" s="35"/>
      <c r="AT24" s="137"/>
      <c r="AU24" s="143"/>
      <c r="AV24" s="143"/>
    </row>
    <row r="25" spans="1:48" s="72" customFormat="1" ht="11">
      <c r="A25" s="35" t="str">
        <f>'aij-UNIFAC (LLE)'!B12</f>
        <v>CH</v>
      </c>
      <c r="B25" s="193">
        <f>'UNIFAC (LLEa)'!B26</f>
        <v>0</v>
      </c>
      <c r="C25" s="193">
        <f>'UNIFAC (LLEa)'!C26</f>
        <v>0</v>
      </c>
      <c r="D25" s="193">
        <f>'UNIFAC (LLEa)'!D26</f>
        <v>0</v>
      </c>
      <c r="E25" s="193">
        <f>'UNIFAC (LLEa)'!E26</f>
        <v>0</v>
      </c>
      <c r="F25" s="193">
        <f>'UNIFAC (LLEa)'!F26</f>
        <v>0</v>
      </c>
      <c r="G25" s="83">
        <f t="array" ref="G25">SUM(B25:F25*$B$21:$F$21)</f>
        <v>0</v>
      </c>
      <c r="H25" s="36" t="str">
        <f t="shared" si="0"/>
        <v>CH</v>
      </c>
      <c r="I25" s="95">
        <f t="shared" si="1"/>
        <v>0</v>
      </c>
      <c r="J25" s="96">
        <f t="shared" si="2"/>
        <v>0</v>
      </c>
      <c r="K25" s="96">
        <f t="shared" si="3"/>
        <v>0</v>
      </c>
      <c r="L25" s="96">
        <f t="shared" si="4"/>
        <v>0</v>
      </c>
      <c r="M25" s="96">
        <f t="shared" si="5"/>
        <v>0</v>
      </c>
      <c r="N25" s="97">
        <f t="shared" si="6"/>
        <v>0</v>
      </c>
      <c r="O25" s="95">
        <f>I25*'aij-UNIFAC (LLE)'!$D12/I$41</f>
        <v>0</v>
      </c>
      <c r="P25" s="96">
        <f>J25*'aij-UNIFAC (LLE)'!$D12/J$41</f>
        <v>0</v>
      </c>
      <c r="Q25" s="96">
        <f>K25*'aij-UNIFAC (LLE)'!$D12/K$41</f>
        <v>0</v>
      </c>
      <c r="R25" s="96">
        <f>L25*'aij-UNIFAC (LLE)'!$D12/L$41</f>
        <v>0</v>
      </c>
      <c r="S25" s="96">
        <f>M25*'aij-UNIFAC (LLE)'!$D12/M$41</f>
        <v>0</v>
      </c>
      <c r="T25" s="98">
        <f>N25*'aij-UNIFAC (LLE)'!$D12/N$41</f>
        <v>0</v>
      </c>
      <c r="U25" s="95">
        <v>0.33154824509283004</v>
      </c>
      <c r="V25" s="99">
        <v>0.86556228057111506</v>
      </c>
      <c r="W25" s="99">
        <v>0.59673706010593985</v>
      </c>
      <c r="X25" s="99">
        <v>0.6972553984422174</v>
      </c>
      <c r="Y25" s="99">
        <v>1</v>
      </c>
      <c r="Z25" s="100">
        <v>0.56766186325069201</v>
      </c>
      <c r="AA25" s="101">
        <f t="shared" si="7"/>
        <v>0</v>
      </c>
      <c r="AB25" s="102">
        <f t="shared" si="8"/>
        <v>0</v>
      </c>
      <c r="AC25" s="102">
        <f t="shared" si="9"/>
        <v>0</v>
      </c>
      <c r="AD25" s="102">
        <f t="shared" si="10"/>
        <v>0</v>
      </c>
      <c r="AE25" s="102">
        <f t="shared" si="11"/>
        <v>0</v>
      </c>
      <c r="AF25" s="97">
        <f t="shared" si="12"/>
        <v>0</v>
      </c>
      <c r="AG25" s="106">
        <v>1.5123276497361903E-2</v>
      </c>
      <c r="AH25" s="99">
        <v>1.0018382918573432</v>
      </c>
      <c r="AI25" s="99">
        <v>1.4159558603175277</v>
      </c>
      <c r="AJ25" s="99">
        <v>0.87850374848467749</v>
      </c>
      <c r="AK25" s="99">
        <v>1</v>
      </c>
      <c r="AL25" s="100">
        <v>0.78366461272770849</v>
      </c>
      <c r="AM25" s="103">
        <f>'aij-UNIFAC (LLE)'!$D12*(1-LN(U25)-AG25)</f>
        <v>0.47625977624088423</v>
      </c>
      <c r="AN25" s="104">
        <f>'aij-UNIFAC (LLE)'!$D12*(1-LN(V25)-AH25)</f>
        <v>3.2498585575306528E-2</v>
      </c>
      <c r="AO25" s="104">
        <f>'aij-UNIFAC (LLE)'!$D12*(1-LN(W25)-AI25)</f>
        <v>2.2873606978630272E-2</v>
      </c>
      <c r="AP25" s="104">
        <f>'aij-UNIFAC (LLE)'!$D12*(1-LN(X25)-AJ25)</f>
        <v>0.10991874563172395</v>
      </c>
      <c r="AQ25" s="104">
        <f>'aij-UNIFAC (LLE)'!$D12*(1-LN(Y25)-AK25)</f>
        <v>0</v>
      </c>
      <c r="AR25" s="105">
        <f>'aij-UNIFAC (LLE)'!$D12*(1-LN(Z25)-AL25)</f>
        <v>0.17842475980336991</v>
      </c>
      <c r="AS25" s="35"/>
      <c r="AT25" s="190"/>
    </row>
    <row r="26" spans="1:48" s="72" customFormat="1" ht="11">
      <c r="A26" s="35" t="str">
        <f>'aij-UNIFAC (LLE)'!B13</f>
        <v>ACH</v>
      </c>
      <c r="B26" s="193">
        <f>'UNIFAC (LLEa)'!B27</f>
        <v>0</v>
      </c>
      <c r="C26" s="193">
        <f>'UNIFAC (LLEa)'!C27</f>
        <v>0</v>
      </c>
      <c r="D26" s="193">
        <f>'UNIFAC (LLEa)'!D27</f>
        <v>4</v>
      </c>
      <c r="E26" s="193">
        <f>'UNIFAC (LLEa)'!E27</f>
        <v>0</v>
      </c>
      <c r="F26" s="193">
        <f>'UNIFAC (LLEa)'!F27</f>
        <v>0</v>
      </c>
      <c r="G26" s="83">
        <f t="array" ref="G26">SUM(B26:F26*$B$21:$F$21)</f>
        <v>0.35233471603054523</v>
      </c>
      <c r="H26" s="36" t="str">
        <f t="shared" si="0"/>
        <v>ACH</v>
      </c>
      <c r="I26" s="95">
        <f t="shared" si="1"/>
        <v>0</v>
      </c>
      <c r="J26" s="96">
        <f t="shared" si="2"/>
        <v>0</v>
      </c>
      <c r="K26" s="96">
        <f t="shared" si="3"/>
        <v>0.44444444444444442</v>
      </c>
      <c r="L26" s="96">
        <f t="shared" si="4"/>
        <v>0</v>
      </c>
      <c r="M26" s="96">
        <f t="shared" si="5"/>
        <v>0</v>
      </c>
      <c r="N26" s="97">
        <f t="shared" si="6"/>
        <v>0.1250891217781355</v>
      </c>
      <c r="O26" s="95">
        <f>I26*'aij-UNIFAC (LLE)'!$D13/I$41</f>
        <v>0</v>
      </c>
      <c r="P26" s="96">
        <f>J26*'aij-UNIFAC (LLE)'!$D13/J$41</f>
        <v>0</v>
      </c>
      <c r="Q26" s="96">
        <f>K26*'aij-UNIFAC (LLE)'!$D13/K$41</f>
        <v>0.28922631959508321</v>
      </c>
      <c r="R26" s="96">
        <f>L26*'aij-UNIFAC (LLE)'!$D13/L$41</f>
        <v>0</v>
      </c>
      <c r="S26" s="96">
        <f>M26*'aij-UNIFAC (LLE)'!$D13/M$41</f>
        <v>0</v>
      </c>
      <c r="T26" s="98">
        <f>N26*'aij-UNIFAC (LLE)'!$D13/N$41</f>
        <v>5.9229511389698786E-2</v>
      </c>
      <c r="U26" s="95">
        <v>0.30059271623075817</v>
      </c>
      <c r="V26" s="96">
        <v>1.3619159102289369</v>
      </c>
      <c r="W26" s="96">
        <v>1.2090246634046093</v>
      </c>
      <c r="X26" s="99">
        <v>1.2542166591857182</v>
      </c>
      <c r="Y26" s="99">
        <v>1.4479423490251866</v>
      </c>
      <c r="Z26" s="100">
        <v>0.84795750228915612</v>
      </c>
      <c r="AA26" s="101">
        <f t="shared" si="7"/>
        <v>0</v>
      </c>
      <c r="AB26" s="102">
        <f t="shared" si="8"/>
        <v>0</v>
      </c>
      <c r="AC26" s="102">
        <f t="shared" si="9"/>
        <v>0.23922284495059257</v>
      </c>
      <c r="AD26" s="102">
        <f t="shared" si="10"/>
        <v>0</v>
      </c>
      <c r="AE26" s="102">
        <f t="shared" si="11"/>
        <v>0</v>
      </c>
      <c r="AF26" s="97">
        <f t="shared" si="12"/>
        <v>6.984962245136353E-2</v>
      </c>
      <c r="AG26" s="95">
        <v>6.2604551360382676E-2</v>
      </c>
      <c r="AH26" s="99">
        <v>0.62361610483231633</v>
      </c>
      <c r="AI26" s="99">
        <v>0.74102396077339061</v>
      </c>
      <c r="AJ26" s="99">
        <v>0.55468861982491169</v>
      </c>
      <c r="AK26" s="99">
        <v>0.60375031575629512</v>
      </c>
      <c r="AL26" s="100">
        <v>0.5107598040175706</v>
      </c>
      <c r="AM26" s="103">
        <f>'aij-UNIFAC (LLE)'!$D13*(1-LN(U26)-AG26)</f>
        <v>0.85575779254628714</v>
      </c>
      <c r="AN26" s="104">
        <f>'aij-UNIFAC (LLE)'!$D13*(1-LN(V26)-AH26)</f>
        <v>2.6996571706546926E-2</v>
      </c>
      <c r="AO26" s="104">
        <f>'aij-UNIFAC (LLE)'!$D13*(1-LN(W26)-AI26)</f>
        <v>2.7664827185456445E-2</v>
      </c>
      <c r="AP26" s="104">
        <f>'aij-UNIFAC (LLE)'!$D13*(1-LN(X26)-AJ26)</f>
        <v>8.7520071367151786E-2</v>
      </c>
      <c r="AQ26" s="104">
        <f>'aij-UNIFAC (LLE)'!$D13*(1-LN(Y26)-AK26)</f>
        <v>1.0442482112764884E-2</v>
      </c>
      <c r="AR26" s="105">
        <f>'aij-UNIFAC (LLE)'!$D13*(1-LN(Z26)-AL26)</f>
        <v>0.26166598226141002</v>
      </c>
      <c r="AS26" s="35"/>
      <c r="AT26" s="190"/>
    </row>
    <row r="27" spans="1:48" s="72" customFormat="1" ht="11">
      <c r="A27" s="35" t="str">
        <f>'aij-UNIFAC (LLE)'!B14</f>
        <v>ACCH2</v>
      </c>
      <c r="B27" s="193">
        <f>'UNIFAC (LLEa)'!B28</f>
        <v>0</v>
      </c>
      <c r="C27" s="193">
        <f>'UNIFAC (LLEa)'!C28</f>
        <v>0</v>
      </c>
      <c r="D27" s="193">
        <f>'UNIFAC (LLEa)'!D28</f>
        <v>2</v>
      </c>
      <c r="E27" s="193">
        <f>'UNIFAC (LLEa)'!E28</f>
        <v>0</v>
      </c>
      <c r="F27" s="193">
        <f>'UNIFAC (LLEa)'!F28</f>
        <v>0</v>
      </c>
      <c r="G27" s="83">
        <f t="array" ref="G27">SUM(B27:F27*$B$21:$F$21)</f>
        <v>0.17616735801527261</v>
      </c>
      <c r="H27" s="36" t="str">
        <f t="shared" si="0"/>
        <v>ACCH2</v>
      </c>
      <c r="I27" s="95">
        <f t="shared" si="1"/>
        <v>0</v>
      </c>
      <c r="J27" s="96">
        <f t="shared" si="2"/>
        <v>0</v>
      </c>
      <c r="K27" s="96">
        <f t="shared" si="3"/>
        <v>0.22222222222222221</v>
      </c>
      <c r="L27" s="96">
        <f t="shared" si="4"/>
        <v>0</v>
      </c>
      <c r="M27" s="96">
        <f t="shared" si="5"/>
        <v>0</v>
      </c>
      <c r="N27" s="97">
        <f t="shared" si="6"/>
        <v>6.2544560889067749E-2</v>
      </c>
      <c r="O27" s="95">
        <f>I27*'aij-UNIFAC (LLE)'!$D14/I$41</f>
        <v>0</v>
      </c>
      <c r="P27" s="96">
        <f>J27*'aij-UNIFAC (LLE)'!$D14/J$41</f>
        <v>0</v>
      </c>
      <c r="Q27" s="96">
        <f>K27*'aij-UNIFAC (LLE)'!$D14/K$41</f>
        <v>0.23861171366594364</v>
      </c>
      <c r="R27" s="96">
        <f>L27*'aij-UNIFAC (LLE)'!$D14/L$41</f>
        <v>0</v>
      </c>
      <c r="S27" s="96">
        <f>M27*'aij-UNIFAC (LLE)'!$D14/M$41</f>
        <v>0</v>
      </c>
      <c r="T27" s="98">
        <f>N27*'aij-UNIFAC (LLE)'!$D14/N$41</f>
        <v>4.8864346896501494E-2</v>
      </c>
      <c r="U27" s="95">
        <v>0.51851880809831086</v>
      </c>
      <c r="V27" s="96">
        <v>1.3582098590444069</v>
      </c>
      <c r="W27" s="96">
        <v>0.90937602643951221</v>
      </c>
      <c r="X27" s="99">
        <v>1.2406030387143274</v>
      </c>
      <c r="Y27" s="99">
        <v>1.4521501217031245</v>
      </c>
      <c r="Z27" s="100">
        <v>0.88443620107805543</v>
      </c>
      <c r="AA27" s="101">
        <f t="shared" si="7"/>
        <v>0</v>
      </c>
      <c r="AB27" s="102">
        <f t="shared" si="8"/>
        <v>0</v>
      </c>
      <c r="AC27" s="102">
        <f t="shared" si="9"/>
        <v>0.26239059171175</v>
      </c>
      <c r="AD27" s="102">
        <f t="shared" si="10"/>
        <v>0</v>
      </c>
      <c r="AE27" s="102">
        <f t="shared" si="11"/>
        <v>0</v>
      </c>
      <c r="AF27" s="97">
        <f t="shared" si="12"/>
        <v>5.5249148369254729E-2</v>
      </c>
      <c r="AG27" s="95">
        <v>1.060348768424003E-8</v>
      </c>
      <c r="AH27" s="99">
        <v>0.65522154168606561</v>
      </c>
      <c r="AI27" s="99">
        <v>1.0875163044327103</v>
      </c>
      <c r="AJ27" s="99">
        <v>0.5493468030958214</v>
      </c>
      <c r="AK27" s="99">
        <v>0.7141863779913058</v>
      </c>
      <c r="AL27" s="100">
        <v>0.57843551293054107</v>
      </c>
      <c r="AM27" s="103">
        <f>'aij-UNIFAC (LLE)'!$D14*(1-LN(U27)-AG27)</f>
        <v>1.0934741184248806</v>
      </c>
      <c r="AN27" s="104">
        <f>'aij-UNIFAC (LLE)'!$D14*(1-LN(V27)-AH27)</f>
        <v>2.5483197787076171E-2</v>
      </c>
      <c r="AO27" s="104">
        <f>'aij-UNIFAC (LLE)'!$D14*(1-LN(W27)-AI27)</f>
        <v>4.9369950032510344E-3</v>
      </c>
      <c r="AP27" s="104">
        <f>'aij-UNIFAC (LLE)'!$D14*(1-LN(X27)-AJ27)</f>
        <v>0.15513670521321515</v>
      </c>
      <c r="AQ27" s="104">
        <f>'aij-UNIFAC (LLE)'!$D14*(1-LN(Y27)-AK27)</f>
        <v>-5.7572907910502451E-2</v>
      </c>
      <c r="AR27" s="105">
        <f>'aij-UNIFAC (LLE)'!$D14*(1-LN(Z27)-AL27)</f>
        <v>0.3592837940880903</v>
      </c>
      <c r="AS27" s="35"/>
      <c r="AT27" s="190"/>
    </row>
    <row r="28" spans="1:48" s="72" customFormat="1" ht="11">
      <c r="A28" s="35" t="str">
        <f>'aij-UNIFAC (LLE)'!B15</f>
        <v>ACCH3</v>
      </c>
      <c r="B28" s="193">
        <f>'UNIFAC (LLEa)'!B29</f>
        <v>0</v>
      </c>
      <c r="C28" s="193">
        <f>'UNIFAC (LLEa)'!C29</f>
        <v>0</v>
      </c>
      <c r="D28" s="193">
        <f>'UNIFAC (LLEa)'!D29</f>
        <v>0</v>
      </c>
      <c r="E28" s="193">
        <f>'UNIFAC (LLEa)'!E29</f>
        <v>0</v>
      </c>
      <c r="F28" s="193">
        <f>'UNIFAC (LLEa)'!F29</f>
        <v>0</v>
      </c>
      <c r="G28" s="83">
        <f t="array" ref="G28">SUM(B28:F28*$B$21:$F$21)</f>
        <v>0</v>
      </c>
      <c r="H28" s="36" t="str">
        <f t="shared" si="0"/>
        <v>ACCH3</v>
      </c>
      <c r="I28" s="95">
        <f t="shared" si="1"/>
        <v>0</v>
      </c>
      <c r="J28" s="96">
        <f t="shared" si="2"/>
        <v>0</v>
      </c>
      <c r="K28" s="96">
        <f t="shared" si="3"/>
        <v>0</v>
      </c>
      <c r="L28" s="96">
        <f t="shared" si="4"/>
        <v>0</v>
      </c>
      <c r="M28" s="96">
        <f t="shared" si="5"/>
        <v>0</v>
      </c>
      <c r="N28" s="97">
        <f t="shared" si="6"/>
        <v>0</v>
      </c>
      <c r="O28" s="95">
        <f>I28*'aij-UNIFAC (LLE)'!$D15/I$41</f>
        <v>0</v>
      </c>
      <c r="P28" s="96">
        <f>J28*'aij-UNIFAC (LLE)'!$D15/J$41</f>
        <v>0</v>
      </c>
      <c r="Q28" s="96">
        <f>K28*'aij-UNIFAC (LLE)'!$D15/K$41</f>
        <v>0</v>
      </c>
      <c r="R28" s="96">
        <f>L28*'aij-UNIFAC (LLE)'!$D15/L$41</f>
        <v>0</v>
      </c>
      <c r="S28" s="96">
        <f>M28*'aij-UNIFAC (LLE)'!$D15/M$41</f>
        <v>0</v>
      </c>
      <c r="T28" s="98">
        <f>N28*'aij-UNIFAC (LLE)'!$D15/N$41</f>
        <v>0</v>
      </c>
      <c r="U28" s="95">
        <v>0.51851880809831086</v>
      </c>
      <c r="V28" s="96">
        <v>1.3582098590444069</v>
      </c>
      <c r="W28" s="96">
        <v>0.90937602643951221</v>
      </c>
      <c r="X28" s="99">
        <v>1.2406030387143274</v>
      </c>
      <c r="Y28" s="99">
        <v>1.4521501217031245</v>
      </c>
      <c r="Z28" s="100">
        <v>0.88443620107805543</v>
      </c>
      <c r="AA28" s="101">
        <f t="shared" si="7"/>
        <v>0</v>
      </c>
      <c r="AB28" s="102">
        <f t="shared" si="8"/>
        <v>0</v>
      </c>
      <c r="AC28" s="102">
        <f t="shared" si="9"/>
        <v>0</v>
      </c>
      <c r="AD28" s="102">
        <f t="shared" si="10"/>
        <v>0</v>
      </c>
      <c r="AE28" s="102">
        <f t="shared" si="11"/>
        <v>0</v>
      </c>
      <c r="AF28" s="97">
        <f t="shared" si="12"/>
        <v>0</v>
      </c>
      <c r="AG28" s="95">
        <v>1.060348768424003E-8</v>
      </c>
      <c r="AH28" s="99">
        <v>0.65522154168606561</v>
      </c>
      <c r="AI28" s="99">
        <v>1.0875163044327103</v>
      </c>
      <c r="AJ28" s="99">
        <v>0.5493468030958214</v>
      </c>
      <c r="AK28" s="99">
        <v>0.7141863779913058</v>
      </c>
      <c r="AL28" s="100">
        <v>0.57843551293054107</v>
      </c>
      <c r="AM28" s="103">
        <f>'aij-UNIFAC (LLE)'!$D15*(1-LN(U28)-AG28)</f>
        <v>1.6037620403564914</v>
      </c>
      <c r="AN28" s="104">
        <f>'aij-UNIFAC (LLE)'!$D15*(1-LN(V28)-AH28)</f>
        <v>3.7375356754378378E-2</v>
      </c>
      <c r="AO28" s="104">
        <f>'aij-UNIFAC (LLE)'!$D15*(1-LN(W28)-AI28)</f>
        <v>7.2409260047681841E-3</v>
      </c>
      <c r="AP28" s="104">
        <f>'aij-UNIFAC (LLE)'!$D15*(1-LN(X28)-AJ28)</f>
        <v>0.22753383431271554</v>
      </c>
      <c r="AQ28" s="104">
        <f>'aij-UNIFAC (LLE)'!$D15*(1-LN(Y28)-AK28)</f>
        <v>-8.4440264935403589E-2</v>
      </c>
      <c r="AR28" s="105">
        <f>'aij-UNIFAC (LLE)'!$D15*(1-LN(Z28)-AL28)</f>
        <v>0.5269495646625324</v>
      </c>
      <c r="AS28" s="35"/>
      <c r="AT28" s="190"/>
    </row>
    <row r="29" spans="1:48" s="72" customFormat="1" ht="11">
      <c r="A29" s="35" t="str">
        <f>'aij-UNIFAC (LLE)'!B16</f>
        <v>OH</v>
      </c>
      <c r="B29" s="193">
        <f>'UNIFAC (LLEa)'!B30</f>
        <v>0</v>
      </c>
      <c r="C29" s="193">
        <f>'UNIFAC (LLEa)'!C30</f>
        <v>1</v>
      </c>
      <c r="D29" s="193">
        <f>'UNIFAC (LLEa)'!D30</f>
        <v>0</v>
      </c>
      <c r="E29" s="193">
        <f>'UNIFAC (LLEa)'!E30</f>
        <v>1</v>
      </c>
      <c r="F29" s="193">
        <f>'UNIFAC (LLEa)'!F30</f>
        <v>0</v>
      </c>
      <c r="G29" s="83">
        <f t="array" ref="G29">SUM(B29:F29*$B$21:$F$21)</f>
        <v>0.13900001042726937</v>
      </c>
      <c r="H29" s="36" t="str">
        <f t="shared" si="0"/>
        <v>OH</v>
      </c>
      <c r="I29" s="95">
        <f t="shared" si="1"/>
        <v>0</v>
      </c>
      <c r="J29" s="96">
        <f t="shared" si="2"/>
        <v>0.1111111111111111</v>
      </c>
      <c r="K29" s="96">
        <f t="shared" si="3"/>
        <v>0</v>
      </c>
      <c r="L29" s="96">
        <f t="shared" si="4"/>
        <v>0.33333333333333331</v>
      </c>
      <c r="M29" s="96">
        <f t="shared" si="5"/>
        <v>0</v>
      </c>
      <c r="N29" s="97">
        <f t="shared" si="6"/>
        <v>4.9349066215749866E-2</v>
      </c>
      <c r="O29" s="95">
        <f>I29*'aij-UNIFAC (LLE)'!$D16/I$41</f>
        <v>0</v>
      </c>
      <c r="P29" s="96">
        <f>J29*'aij-UNIFAC (LLE)'!$D16/J$41</f>
        <v>0.20590253946465339</v>
      </c>
      <c r="Q29" s="96">
        <f>K29*'aij-UNIFAC (LLE)'!$D16/K$41</f>
        <v>0</v>
      </c>
      <c r="R29" s="96">
        <f>L29*'aij-UNIFAC (LLE)'!$D16/L$41</f>
        <v>0.46367851622874806</v>
      </c>
      <c r="S29" s="96">
        <f>M29*'aij-UNIFAC (LLE)'!$D16/M$41</f>
        <v>0</v>
      </c>
      <c r="T29" s="98">
        <f>N29*'aij-UNIFAC (LLE)'!$D16/N$41</f>
        <v>7.0100126324677506E-2</v>
      </c>
      <c r="U29" s="95">
        <v>1.4838614102848047</v>
      </c>
      <c r="V29" s="96">
        <v>0.3052732108960538</v>
      </c>
      <c r="W29" s="96">
        <v>0.21233721915856707</v>
      </c>
      <c r="X29" s="99">
        <v>0.53079197344784723</v>
      </c>
      <c r="Y29" s="99">
        <v>0.12513661907999171</v>
      </c>
      <c r="Z29" s="100">
        <v>0.82221718637181573</v>
      </c>
      <c r="AA29" s="101">
        <f t="shared" si="7"/>
        <v>0</v>
      </c>
      <c r="AB29" s="102">
        <f t="shared" si="8"/>
        <v>0.6744861065937543</v>
      </c>
      <c r="AC29" s="102">
        <f t="shared" si="9"/>
        <v>0</v>
      </c>
      <c r="AD29" s="102">
        <f t="shared" si="10"/>
        <v>0.87355977374120297</v>
      </c>
      <c r="AE29" s="102">
        <f t="shared" si="11"/>
        <v>0</v>
      </c>
      <c r="AF29" s="97">
        <f t="shared" si="12"/>
        <v>8.5257432569619693E-2</v>
      </c>
      <c r="AG29" s="95">
        <v>0.91152833690909107</v>
      </c>
      <c r="AH29" s="99">
        <v>0.99291032107017929</v>
      </c>
      <c r="AI29" s="99">
        <v>1.241307652459732</v>
      </c>
      <c r="AJ29" s="99">
        <v>1.1405306642527229</v>
      </c>
      <c r="AK29" s="99">
        <v>0.34708080930704882</v>
      </c>
      <c r="AL29" s="100">
        <v>1.2132083884717304</v>
      </c>
      <c r="AM29" s="103">
        <f>'aij-UNIFAC (LLE)'!$D16*(1-LN(U29)-AG29)</f>
        <v>-0.36741130559672908</v>
      </c>
      <c r="AN29" s="104">
        <f>'aij-UNIFAC (LLE)'!$D16*(1-LN(V29)-AH29)</f>
        <v>1.4323653706085382</v>
      </c>
      <c r="AO29" s="104">
        <f>'aij-UNIFAC (LLE)'!$D16*(1-LN(W29)-AI29)</f>
        <v>1.5699263510352088</v>
      </c>
      <c r="AP29" s="104">
        <f>'aij-UNIFAC (LLE)'!$D16*(1-LN(X29)-AJ29)</f>
        <v>0.59142532079837096</v>
      </c>
      <c r="AQ29" s="104">
        <f>'aij-UNIFAC (LLE)'!$D16*(1-LN(Y29)-AK29)</f>
        <v>3.2775220518849029</v>
      </c>
      <c r="AR29" s="105">
        <f>'aij-UNIFAC (LLE)'!$D16*(1-LN(Z29)-AL29)</f>
        <v>-2.0949223972742903E-2</v>
      </c>
      <c r="AS29" s="35"/>
      <c r="AT29" s="35"/>
    </row>
    <row r="30" spans="1:48" s="72" customFormat="1" ht="11">
      <c r="A30" s="35" t="str">
        <f>'aij-UNIFAC (LLE)'!B17</f>
        <v>2-Propanol</v>
      </c>
      <c r="B30" s="193">
        <f>'UNIFAC (LLEa)'!B31</f>
        <v>0</v>
      </c>
      <c r="C30" s="193">
        <f>'UNIFAC (LLEa)'!C31</f>
        <v>0</v>
      </c>
      <c r="D30" s="193">
        <f>'UNIFAC (LLEa)'!D31</f>
        <v>0</v>
      </c>
      <c r="E30" s="193">
        <f>'UNIFAC (LLEa)'!E31</f>
        <v>0</v>
      </c>
      <c r="F30" s="193">
        <f>'UNIFAC (LLEa)'!F31</f>
        <v>0</v>
      </c>
      <c r="G30" s="83">
        <f t="array" ref="G30">SUM(B30:F30*$B$21:$F$21)</f>
        <v>0</v>
      </c>
      <c r="H30" s="36" t="str">
        <f t="shared" si="0"/>
        <v>2-Propanol</v>
      </c>
      <c r="I30" s="95">
        <f t="shared" si="1"/>
        <v>0</v>
      </c>
      <c r="J30" s="96">
        <f t="shared" si="2"/>
        <v>0</v>
      </c>
      <c r="K30" s="96">
        <f t="shared" si="3"/>
        <v>0</v>
      </c>
      <c r="L30" s="96">
        <f t="shared" si="4"/>
        <v>0</v>
      </c>
      <c r="M30" s="96">
        <f t="shared" si="5"/>
        <v>0</v>
      </c>
      <c r="N30" s="97">
        <f t="shared" si="6"/>
        <v>0</v>
      </c>
      <c r="O30" s="95">
        <f>I30*'aij-UNIFAC (LLE)'!$D17/I$41</f>
        <v>0</v>
      </c>
      <c r="P30" s="96">
        <f>J30*'aij-UNIFAC (LLE)'!$D17/J$41</f>
        <v>0</v>
      </c>
      <c r="Q30" s="96">
        <f>K30*'aij-UNIFAC (LLE)'!$D17/K$41</f>
        <v>0</v>
      </c>
      <c r="R30" s="96">
        <f>L30*'aij-UNIFAC (LLE)'!$D17/L$41</f>
        <v>0</v>
      </c>
      <c r="S30" s="96">
        <f>M30*'aij-UNIFAC (LLE)'!$D17/M$41</f>
        <v>0</v>
      </c>
      <c r="T30" s="98">
        <f>N30*'aij-UNIFAC (LLE)'!$D17/N$41</f>
        <v>0</v>
      </c>
      <c r="U30" s="95">
        <v>0.71303594915200408</v>
      </c>
      <c r="V30" s="96">
        <v>0.30003957520074565</v>
      </c>
      <c r="W30" s="96">
        <v>0.22171348784862371</v>
      </c>
      <c r="X30" s="99">
        <v>0.21592468026263992</v>
      </c>
      <c r="Y30" s="99">
        <v>0.36722764560192395</v>
      </c>
      <c r="Z30" s="100">
        <v>0.47181413753562151</v>
      </c>
      <c r="AA30" s="101">
        <f t="shared" si="7"/>
        <v>0</v>
      </c>
      <c r="AB30" s="102">
        <f t="shared" si="8"/>
        <v>0</v>
      </c>
      <c r="AC30" s="102">
        <f t="shared" si="9"/>
        <v>0</v>
      </c>
      <c r="AD30" s="102">
        <f t="shared" si="10"/>
        <v>0</v>
      </c>
      <c r="AE30" s="102">
        <f t="shared" si="11"/>
        <v>0</v>
      </c>
      <c r="AF30" s="97">
        <f t="shared" si="12"/>
        <v>0</v>
      </c>
      <c r="AG30" s="95">
        <v>0.98118837844151774</v>
      </c>
      <c r="AH30" s="99">
        <v>3.0082885962026307</v>
      </c>
      <c r="AI30" s="99">
        <v>2.3229652823318809</v>
      </c>
      <c r="AJ30" s="99">
        <v>3.2550648652510858</v>
      </c>
      <c r="AK30" s="99">
        <v>1.5300158445200371</v>
      </c>
      <c r="AL30" s="100">
        <v>2.2210003991726133</v>
      </c>
      <c r="AM30" s="103">
        <f>'aij-UNIFAC (LLE)'!$D17*(1-LN(U30)-AG30)</f>
        <v>1.1153775331547922</v>
      </c>
      <c r="AN30" s="104">
        <f>'aij-UNIFAC (LLE)'!$D17*(1-LN(V30)-AH30)</f>
        <v>-2.5130946164000711</v>
      </c>
      <c r="AO30" s="104">
        <f>'aij-UNIFAC (LLE)'!$D17*(1-LN(W30)-AI30)</f>
        <v>0.57295423217446895</v>
      </c>
      <c r="AP30" s="104">
        <f>'aij-UNIFAC (LLE)'!$D17*(1-LN(X30)-AJ30)</f>
        <v>-2.2562753565646139</v>
      </c>
      <c r="AQ30" s="104">
        <f>'aij-UNIFAC (LLE)'!$D17*(1-LN(Y30)-AK30)</f>
        <v>1.4737704017677677</v>
      </c>
      <c r="AR30" s="105">
        <f>'aij-UNIFAC (LLE)'!$D17*(1-LN(Z30)-AL30)</f>
        <v>-1.4677497066799363</v>
      </c>
      <c r="AS30" s="35"/>
      <c r="AT30" s="35"/>
    </row>
    <row r="31" spans="1:48" s="72" customFormat="1" ht="11">
      <c r="A31" s="35" t="str">
        <f>'aij-UNIFAC (LLE)'!B18</f>
        <v>H2O</v>
      </c>
      <c r="B31" s="193">
        <f>'UNIFAC (LLEa)'!B32</f>
        <v>1</v>
      </c>
      <c r="C31" s="193">
        <f>'UNIFAC (LLEa)'!C32</f>
        <v>0</v>
      </c>
      <c r="D31" s="193">
        <f>'UNIFAC (LLEa)'!D32</f>
        <v>0</v>
      </c>
      <c r="E31" s="193">
        <f>'UNIFAC (LLEa)'!E32</f>
        <v>0</v>
      </c>
      <c r="F31" s="193">
        <f>'UNIFAC (LLEa)'!F32</f>
        <v>0</v>
      </c>
      <c r="G31" s="83">
        <f t="array" ref="G31">SUM(B31:F31*$B$21:$F$21)</f>
        <v>0.77291631056509436</v>
      </c>
      <c r="H31" s="36" t="str">
        <f t="shared" si="0"/>
        <v>H2O</v>
      </c>
      <c r="I31" s="95">
        <f t="shared" si="1"/>
        <v>1</v>
      </c>
      <c r="J31" s="96">
        <f t="shared" si="2"/>
        <v>0</v>
      </c>
      <c r="K31" s="96">
        <f t="shared" si="3"/>
        <v>0</v>
      </c>
      <c r="L31" s="96">
        <f t="shared" si="4"/>
        <v>0</v>
      </c>
      <c r="M31" s="96">
        <f t="shared" si="5"/>
        <v>0</v>
      </c>
      <c r="N31" s="97">
        <f t="shared" si="6"/>
        <v>0.27440788005744637</v>
      </c>
      <c r="O31" s="95">
        <f>I31*'aij-UNIFAC (LLE)'!$D18/I$41</f>
        <v>1</v>
      </c>
      <c r="P31" s="96">
        <f>J31*'aij-UNIFAC (LLE)'!$D18/J$41</f>
        <v>0</v>
      </c>
      <c r="Q31" s="96">
        <f>K31*'aij-UNIFAC (LLE)'!$D18/K$41</f>
        <v>0</v>
      </c>
      <c r="R31" s="96">
        <f>L31*'aij-UNIFAC (LLE)'!$D18/L$41</f>
        <v>0</v>
      </c>
      <c r="S31" s="96">
        <f>M31*'aij-UNIFAC (LLE)'!$D18/M$41</f>
        <v>0</v>
      </c>
      <c r="T31" s="98">
        <f>N31*'aij-UNIFAC (LLE)'!$D18/N$41</f>
        <v>0.45476101751993259</v>
      </c>
      <c r="U31" s="95">
        <v>1</v>
      </c>
      <c r="V31" s="96">
        <v>0.19969535482510298</v>
      </c>
      <c r="W31" s="96">
        <v>4.8909943015602017E-2</v>
      </c>
      <c r="X31" s="99">
        <v>0.43076704484901374</v>
      </c>
      <c r="Y31" s="99">
        <v>1.5123276497361903E-2</v>
      </c>
      <c r="Z31" s="100">
        <v>0.53276396287548067</v>
      </c>
      <c r="AA31" s="101">
        <f t="shared" si="7"/>
        <v>1</v>
      </c>
      <c r="AB31" s="102">
        <f t="shared" si="8"/>
        <v>0</v>
      </c>
      <c r="AC31" s="102">
        <f t="shared" si="9"/>
        <v>0</v>
      </c>
      <c r="AD31" s="102">
        <f t="shared" si="10"/>
        <v>0</v>
      </c>
      <c r="AE31" s="102">
        <f t="shared" si="11"/>
        <v>0</v>
      </c>
      <c r="AF31" s="97">
        <f t="shared" si="12"/>
        <v>0.85358817264113795</v>
      </c>
      <c r="AG31" s="95">
        <v>1</v>
      </c>
      <c r="AH31" s="99">
        <v>1.3050179958585086</v>
      </c>
      <c r="AI31" s="99">
        <v>2.2335193841472325</v>
      </c>
      <c r="AJ31" s="99">
        <v>1.5512650441003495</v>
      </c>
      <c r="AK31" s="99">
        <v>0.33154824509283004</v>
      </c>
      <c r="AL31" s="100">
        <v>1.3017108829366213</v>
      </c>
      <c r="AM31" s="103">
        <f>'aij-UNIFAC (LLE)'!$D18*(1-LN(U31)-AG31)</f>
        <v>0</v>
      </c>
      <c r="AN31" s="104">
        <f>'aij-UNIFAC (LLE)'!$D18*(1-LN(V31)-AH31)</f>
        <v>1.8283220252332391</v>
      </c>
      <c r="AO31" s="104">
        <f>'aij-UNIFAC (LLE)'!$D18*(1-LN(W31)-AI31)</f>
        <v>2.4979572595196391</v>
      </c>
      <c r="AP31" s="104">
        <f>'aij-UNIFAC (LLE)'!$D18*(1-LN(X31)-AJ31)</f>
        <v>0.40729190612684768</v>
      </c>
      <c r="AQ31" s="104">
        <f>'aij-UNIFAC (LLE)'!$D18*(1-LN(Y31)-AK31)</f>
        <v>6.8039607818740677</v>
      </c>
      <c r="AR31" s="105">
        <f>'aij-UNIFAC (LLE)'!$D18*(1-LN(Z31)-AL31)</f>
        <v>0.4591522828935804</v>
      </c>
      <c r="AS31" s="35"/>
      <c r="AT31" s="35"/>
    </row>
    <row r="32" spans="1:48" s="72" customFormat="1" ht="13">
      <c r="A32" s="35" t="str">
        <f>'aij-UNIFAC (LLE)'!B19</f>
        <v>ACOH</v>
      </c>
      <c r="B32" s="193">
        <f>'UNIFAC (LLEa)'!B33</f>
        <v>0</v>
      </c>
      <c r="C32" s="193">
        <f>'UNIFAC (LLEa)'!C33</f>
        <v>0</v>
      </c>
      <c r="D32" s="193">
        <f>'UNIFAC (LLEa)'!D33</f>
        <v>0</v>
      </c>
      <c r="E32" s="193">
        <f>'UNIFAC (LLEa)'!E33</f>
        <v>0</v>
      </c>
      <c r="F32" s="193">
        <f>'UNIFAC (LLEa)'!F33</f>
        <v>0</v>
      </c>
      <c r="G32" s="83">
        <f t="array" ref="G32">SUM(B32:F32*$B$21:$F$21)</f>
        <v>0</v>
      </c>
      <c r="H32" s="36" t="str">
        <f t="shared" si="0"/>
        <v>ACOH</v>
      </c>
      <c r="I32" s="95">
        <f t="shared" si="1"/>
        <v>0</v>
      </c>
      <c r="J32" s="96">
        <f t="shared" si="2"/>
        <v>0</v>
      </c>
      <c r="K32" s="96">
        <f t="shared" si="3"/>
        <v>0</v>
      </c>
      <c r="L32" s="96">
        <f t="shared" si="4"/>
        <v>0</v>
      </c>
      <c r="M32" s="96">
        <f t="shared" si="5"/>
        <v>0</v>
      </c>
      <c r="N32" s="97">
        <f t="shared" si="6"/>
        <v>0</v>
      </c>
      <c r="O32" s="95">
        <f>I32*'aij-UNIFAC (LLE)'!$D19/I$41</f>
        <v>0</v>
      </c>
      <c r="P32" s="96">
        <f>J32*'aij-UNIFAC (LLE)'!$D19/J$41</f>
        <v>0</v>
      </c>
      <c r="Q32" s="96">
        <f>K32*'aij-UNIFAC (LLE)'!$D19/K$41</f>
        <v>0</v>
      </c>
      <c r="R32" s="96">
        <f>L32*'aij-UNIFAC (LLE)'!$D19/L$41</f>
        <v>0</v>
      </c>
      <c r="S32" s="96">
        <f>M32*'aij-UNIFAC (LLE)'!$D19/M$41</f>
        <v>0</v>
      </c>
      <c r="T32" s="98">
        <f>N32*'aij-UNIFAC (LLE)'!$D19/N$41</f>
        <v>0</v>
      </c>
      <c r="U32" s="95">
        <v>0.32931094218893153</v>
      </c>
      <c r="V32" s="96">
        <v>0.38728872297204986</v>
      </c>
      <c r="W32" s="96">
        <v>0.3157430098313645</v>
      </c>
      <c r="X32" s="99">
        <v>0.87127696970074864</v>
      </c>
      <c r="Y32" s="99">
        <v>6.9564194307687635E-4</v>
      </c>
      <c r="Z32" s="100">
        <v>0.34627112542917754</v>
      </c>
      <c r="AA32" s="101">
        <f t="shared" si="7"/>
        <v>0</v>
      </c>
      <c r="AB32" s="102">
        <f t="shared" si="8"/>
        <v>0</v>
      </c>
      <c r="AC32" s="102">
        <f t="shared" si="9"/>
        <v>0</v>
      </c>
      <c r="AD32" s="102">
        <f t="shared" si="10"/>
        <v>0</v>
      </c>
      <c r="AE32" s="102">
        <f t="shared" si="11"/>
        <v>0</v>
      </c>
      <c r="AF32" s="97">
        <f t="shared" si="12"/>
        <v>0</v>
      </c>
      <c r="AG32" s="95">
        <v>6.8300253796868988</v>
      </c>
      <c r="AH32" s="99">
        <v>2.3626148893682539</v>
      </c>
      <c r="AI32" s="99">
        <v>3.4198629451131737</v>
      </c>
      <c r="AJ32" s="99">
        <v>2.3584753196573045</v>
      </c>
      <c r="AK32" s="99">
        <v>1.6740311230519083</v>
      </c>
      <c r="AL32" s="100">
        <v>7.4750325466838161</v>
      </c>
      <c r="AM32" s="103">
        <f>'aij-UNIFAC (LLE)'!$D19*(1-LN(U32)-AG32)</f>
        <v>-3.2091053123544295</v>
      </c>
      <c r="AN32" s="104">
        <f>'aij-UNIFAC (LLE)'!$D19*(1-LN(V32)-AH32)</f>
        <v>-0.28154045402406452</v>
      </c>
      <c r="AO32" s="104">
        <f>'aij-UNIFAC (LLE)'!$D19*(1-LN(W32)-AI32)</f>
        <v>-0.86158467639439118</v>
      </c>
      <c r="AP32" s="104">
        <f>'aij-UNIFAC (LLE)'!$D19*(1-LN(X32)-AJ32)</f>
        <v>-0.83006237106667924</v>
      </c>
      <c r="AQ32" s="104">
        <f>'aij-UNIFAC (LLE)'!$D19*(1-LN(Y32)-AK32)</f>
        <v>4.4857181624572187</v>
      </c>
      <c r="AR32" s="105">
        <f>'aij-UNIFAC (LLE)'!$D19*(1-LN(Z32)-AL32)</f>
        <v>-3.6818595480800878</v>
      </c>
      <c r="AS32" s="5"/>
      <c r="AT32" s="35"/>
    </row>
    <row r="33" spans="1:46" s="72" customFormat="1" ht="13">
      <c r="A33" s="35" t="str">
        <f>'aij-UNIFAC (LLE)'!B20</f>
        <v>CH3CO</v>
      </c>
      <c r="B33" s="193">
        <f>'UNIFAC (LLEa)'!B34</f>
        <v>0</v>
      </c>
      <c r="C33" s="193">
        <f>'UNIFAC (LLEa)'!C34</f>
        <v>0</v>
      </c>
      <c r="D33" s="193">
        <f>'UNIFAC (LLEa)'!D34</f>
        <v>0</v>
      </c>
      <c r="E33" s="193">
        <f>'UNIFAC (LLEa)'!E34</f>
        <v>0</v>
      </c>
      <c r="F33" s="193">
        <f>'UNIFAC (LLEa)'!F34</f>
        <v>0</v>
      </c>
      <c r="G33" s="83">
        <f t="array" ref="G33">SUM(B33:F33*$B$21:$F$21)</f>
        <v>0</v>
      </c>
      <c r="H33" s="36" t="str">
        <f t="shared" si="0"/>
        <v>CH3CO</v>
      </c>
      <c r="I33" s="95">
        <f t="shared" si="1"/>
        <v>0</v>
      </c>
      <c r="J33" s="96">
        <f t="shared" si="2"/>
        <v>0</v>
      </c>
      <c r="K33" s="96">
        <f t="shared" si="3"/>
        <v>0</v>
      </c>
      <c r="L33" s="96">
        <f t="shared" si="4"/>
        <v>0</v>
      </c>
      <c r="M33" s="96">
        <f t="shared" si="5"/>
        <v>0</v>
      </c>
      <c r="N33" s="97">
        <f t="shared" si="6"/>
        <v>0</v>
      </c>
      <c r="O33" s="95">
        <f>I33*'aij-UNIFAC (LLE)'!$D20/I$41</f>
        <v>0</v>
      </c>
      <c r="P33" s="96">
        <f>J33*'aij-UNIFAC (LLE)'!$D20/J$41</f>
        <v>0</v>
      </c>
      <c r="Q33" s="96">
        <f>K33*'aij-UNIFAC (LLE)'!$D20/K$41</f>
        <v>0</v>
      </c>
      <c r="R33" s="96">
        <f>L33*'aij-UNIFAC (LLE)'!$D20/L$41</f>
        <v>0</v>
      </c>
      <c r="S33" s="96">
        <f>M33*'aij-UNIFAC (LLE)'!$D20/M$41</f>
        <v>0</v>
      </c>
      <c r="T33" s="98">
        <f>N33*'aij-UNIFAC (LLE)'!$D20/N$41</f>
        <v>0</v>
      </c>
      <c r="U33" s="95">
        <v>1.7400703090493814</v>
      </c>
      <c r="V33" s="96">
        <v>0.33888493387043223</v>
      </c>
      <c r="W33" s="96">
        <v>0.41645807180465622</v>
      </c>
      <c r="X33" s="99">
        <v>0.49036615051906962</v>
      </c>
      <c r="Y33" s="99">
        <v>0.21788697439923668</v>
      </c>
      <c r="Z33" s="100">
        <v>0.99197531620977952</v>
      </c>
      <c r="AA33" s="101">
        <f t="shared" si="7"/>
        <v>0</v>
      </c>
      <c r="AB33" s="102">
        <f t="shared" si="8"/>
        <v>0</v>
      </c>
      <c r="AC33" s="102">
        <f t="shared" si="9"/>
        <v>0</v>
      </c>
      <c r="AD33" s="102">
        <f t="shared" si="10"/>
        <v>0</v>
      </c>
      <c r="AE33" s="102">
        <f t="shared" si="11"/>
        <v>0</v>
      </c>
      <c r="AF33" s="97">
        <f t="shared" si="12"/>
        <v>0</v>
      </c>
      <c r="AG33" s="95">
        <v>0.12915376963616196</v>
      </c>
      <c r="AH33" s="99">
        <v>1.0763767101089179</v>
      </c>
      <c r="AI33" s="99">
        <v>0.98768096983751008</v>
      </c>
      <c r="AJ33" s="99">
        <v>1.0559729635629898</v>
      </c>
      <c r="AK33" s="99">
        <v>0.80685941253213911</v>
      </c>
      <c r="AL33" s="100">
        <v>0.7703932656122453</v>
      </c>
      <c r="AM33" s="103">
        <f>'aij-UNIFAC (LLE)'!$D20*(1-LN(U33)-AG33)</f>
        <v>0.47157801715572589</v>
      </c>
      <c r="AN33" s="104">
        <f>'aij-UNIFAC (LLE)'!$D20*(1-LN(V33)-AH33)</f>
        <v>1.496508305466854</v>
      </c>
      <c r="AO33" s="104">
        <f>'aij-UNIFAC (LLE)'!$D20*(1-LN(W33)-AI33)</f>
        <v>1.3217733185651357</v>
      </c>
      <c r="AP33" s="104">
        <f>'aij-UNIFAC (LLE)'!$D20*(1-LN(X33)-AJ33)</f>
        <v>0.97706537662079296</v>
      </c>
      <c r="AQ33" s="104">
        <f>'aij-UNIFAC (LLE)'!$D20*(1-LN(Y33)-AK33)</f>
        <v>2.554776073404152</v>
      </c>
      <c r="AR33" s="105">
        <f>'aij-UNIFAC (LLE)'!$D20*(1-LN(Z33)-AL33)</f>
        <v>0.35364371840049885</v>
      </c>
      <c r="AS33" s="5"/>
      <c r="AT33" s="35"/>
    </row>
    <row r="34" spans="1:46" s="72" customFormat="1" ht="13">
      <c r="A34" s="35" t="str">
        <f>'aij-UNIFAC (LLE)'!B21</f>
        <v>CHO</v>
      </c>
      <c r="B34" s="193">
        <f>'UNIFAC (LLEa)'!B35</f>
        <v>0</v>
      </c>
      <c r="C34" s="193">
        <f>'UNIFAC (LLEa)'!C35</f>
        <v>0</v>
      </c>
      <c r="D34" s="193">
        <f>'UNIFAC (LLEa)'!D35</f>
        <v>0</v>
      </c>
      <c r="E34" s="193">
        <f>'UNIFAC (LLEa)'!E35</f>
        <v>0</v>
      </c>
      <c r="F34" s="193">
        <f>'UNIFAC (LLEa)'!F35</f>
        <v>0</v>
      </c>
      <c r="G34" s="83">
        <f t="array" ref="G34">SUM(B34:F34*$B$21:$F$21)</f>
        <v>0</v>
      </c>
      <c r="H34" s="36" t="str">
        <f t="shared" si="0"/>
        <v>CHO</v>
      </c>
      <c r="I34" s="95">
        <f t="shared" si="1"/>
        <v>0</v>
      </c>
      <c r="J34" s="96">
        <f t="shared" si="2"/>
        <v>0</v>
      </c>
      <c r="K34" s="96">
        <f t="shared" si="3"/>
        <v>0</v>
      </c>
      <c r="L34" s="96">
        <f t="shared" si="4"/>
        <v>0</v>
      </c>
      <c r="M34" s="96">
        <f t="shared" si="5"/>
        <v>0</v>
      </c>
      <c r="N34" s="97">
        <f t="shared" si="6"/>
        <v>0</v>
      </c>
      <c r="O34" s="95">
        <f>I34*'aij-UNIFAC (LLE)'!$D21/I$41</f>
        <v>0</v>
      </c>
      <c r="P34" s="96">
        <f>J34*'aij-UNIFAC (LLE)'!$D21/J$41</f>
        <v>0</v>
      </c>
      <c r="Q34" s="96">
        <f>K34*'aij-UNIFAC (LLE)'!$D21/K$41</f>
        <v>0</v>
      </c>
      <c r="R34" s="96">
        <f>L34*'aij-UNIFAC (LLE)'!$D21/L$41</f>
        <v>0</v>
      </c>
      <c r="S34" s="96">
        <f>M34*'aij-UNIFAC (LLE)'!$D21/M$41</f>
        <v>0</v>
      </c>
      <c r="T34" s="98">
        <f>N34*'aij-UNIFAC (LLE)'!$D21/N$41</f>
        <v>0</v>
      </c>
      <c r="U34" s="95">
        <v>3.0899774455667761</v>
      </c>
      <c r="V34" s="96">
        <v>0.47916082580448349</v>
      </c>
      <c r="W34" s="96">
        <v>0.25280563942138456</v>
      </c>
      <c r="X34" s="99">
        <v>0.32707251359457917</v>
      </c>
      <c r="Y34" s="99">
        <v>0.60064371222399959</v>
      </c>
      <c r="Z34" s="100">
        <v>1.6201040671018763</v>
      </c>
      <c r="AA34" s="101">
        <f t="shared" si="7"/>
        <v>0</v>
      </c>
      <c r="AB34" s="102">
        <f t="shared" si="8"/>
        <v>0</v>
      </c>
      <c r="AC34" s="102">
        <f t="shared" si="9"/>
        <v>0</v>
      </c>
      <c r="AD34" s="102">
        <f t="shared" si="10"/>
        <v>0</v>
      </c>
      <c r="AE34" s="102">
        <f t="shared" si="11"/>
        <v>0</v>
      </c>
      <c r="AF34" s="97">
        <f t="shared" si="12"/>
        <v>0</v>
      </c>
      <c r="AG34" s="95">
        <v>0.13385978097569143</v>
      </c>
      <c r="AH34" s="99">
        <v>3.2824234532910626</v>
      </c>
      <c r="AI34" s="99">
        <v>1.1144318473803418</v>
      </c>
      <c r="AJ34" s="99">
        <v>3.9896123487848261</v>
      </c>
      <c r="AK34" s="99">
        <v>0.62433862522983363</v>
      </c>
      <c r="AL34" s="100">
        <v>0.94525312537934025</v>
      </c>
      <c r="AM34" s="103">
        <f>'aij-UNIFAC (LLE)'!$D21*(1-LN(U34)-AG34)</f>
        <v>-0.24839834690953058</v>
      </c>
      <c r="AN34" s="104">
        <f>'aij-UNIFAC (LLE)'!$D21*(1-LN(V34)-AH34)</f>
        <v>-1.4662758362447461</v>
      </c>
      <c r="AO34" s="104">
        <f>'aij-UNIFAC (LLE)'!$D21*(1-LN(W34)-AI34)</f>
        <v>1.1951459337296657</v>
      </c>
      <c r="AP34" s="104">
        <f>'aij-UNIFAC (LLE)'!$D21*(1-LN(X34)-AJ34)</f>
        <v>-1.7746929437761405</v>
      </c>
      <c r="AQ34" s="104">
        <f>'aij-UNIFAC (LLE)'!$D21*(1-LN(Y34)-AK34)</f>
        <v>0.83937315448959804</v>
      </c>
      <c r="AR34" s="105">
        <f>'aij-UNIFAC (LLE)'!$D21*(1-LN(Z34)-AL34)</f>
        <v>-0.40550084891354227</v>
      </c>
      <c r="AS34" s="5"/>
      <c r="AT34" s="35"/>
    </row>
    <row r="35" spans="1:46" s="72" customFormat="1" ht="13">
      <c r="A35" s="35" t="str">
        <f>'aij-UNIFAC (LLE)'!B22</f>
        <v>COOH</v>
      </c>
      <c r="B35" s="193">
        <f>'UNIFAC (LLEa)'!B36</f>
        <v>0</v>
      </c>
      <c r="C35" s="193">
        <f>'UNIFAC (LLEa)'!C36</f>
        <v>0</v>
      </c>
      <c r="D35" s="193">
        <f>'UNIFAC (LLEa)'!D36</f>
        <v>1</v>
      </c>
      <c r="E35" s="193">
        <f>'UNIFAC (LLEa)'!E36</f>
        <v>0</v>
      </c>
      <c r="F35" s="193">
        <f>'UNIFAC (LLEa)'!F36</f>
        <v>0</v>
      </c>
      <c r="G35" s="83">
        <f t="array" ref="G35">SUM(B35:F35*$B$21:$F$21)</f>
        <v>8.8083679007636306E-2</v>
      </c>
      <c r="H35" s="36" t="str">
        <f t="shared" si="0"/>
        <v>COOH</v>
      </c>
      <c r="I35" s="95">
        <f t="shared" si="1"/>
        <v>0</v>
      </c>
      <c r="J35" s="96">
        <f t="shared" si="2"/>
        <v>0</v>
      </c>
      <c r="K35" s="96">
        <f t="shared" si="3"/>
        <v>0.1111111111111111</v>
      </c>
      <c r="L35" s="96">
        <f t="shared" si="4"/>
        <v>0</v>
      </c>
      <c r="M35" s="96">
        <f t="shared" si="5"/>
        <v>0</v>
      </c>
      <c r="N35" s="97">
        <f t="shared" si="6"/>
        <v>3.1272280444533875E-2</v>
      </c>
      <c r="O35" s="95">
        <f>I35*'aij-UNIFAC (LLE)'!$D22/I$41</f>
        <v>0</v>
      </c>
      <c r="P35" s="96">
        <f>J35*'aij-UNIFAC (LLE)'!$D22/J$41</f>
        <v>0</v>
      </c>
      <c r="Q35" s="96">
        <f>K35*'aij-UNIFAC (LLE)'!$D22/K$41</f>
        <v>0.22125813449023862</v>
      </c>
      <c r="R35" s="96">
        <f>L35*'aij-UNIFAC (LLE)'!$D22/L$41</f>
        <v>0</v>
      </c>
      <c r="S35" s="96">
        <f>M35*'aij-UNIFAC (LLE)'!$D22/M$41</f>
        <v>0</v>
      </c>
      <c r="T35" s="98">
        <f>N35*'aij-UNIFAC (LLE)'!$D22/N$41</f>
        <v>4.5310576213119569E-2</v>
      </c>
      <c r="U35" s="95">
        <v>4.4885581120578797</v>
      </c>
      <c r="V35" s="96">
        <v>0.79454448859230764</v>
      </c>
      <c r="W35" s="96">
        <v>0.52653716818229834</v>
      </c>
      <c r="X35" s="99">
        <v>0.99056184163637861</v>
      </c>
      <c r="Y35" s="99">
        <v>0.63797260288920421</v>
      </c>
      <c r="Z35" s="100">
        <v>2.4195537260654509</v>
      </c>
      <c r="AA35" s="101">
        <f t="shared" si="7"/>
        <v>0</v>
      </c>
      <c r="AB35" s="102">
        <f t="shared" si="8"/>
        <v>0</v>
      </c>
      <c r="AC35" s="102">
        <f t="shared" si="9"/>
        <v>0.42021370543329689</v>
      </c>
      <c r="AD35" s="102">
        <f t="shared" si="10"/>
        <v>0</v>
      </c>
      <c r="AE35" s="102">
        <f t="shared" si="11"/>
        <v>0</v>
      </c>
      <c r="AF35" s="97">
        <f t="shared" si="12"/>
        <v>1.8726832028979661E-2</v>
      </c>
      <c r="AG35" s="95">
        <v>0.12206813791728427</v>
      </c>
      <c r="AH35" s="99">
        <v>0.46376330538212107</v>
      </c>
      <c r="AI35" s="99">
        <v>0.77246193365250737</v>
      </c>
      <c r="AJ35" s="99">
        <v>0.59912828240785676</v>
      </c>
      <c r="AK35" s="99">
        <v>3.6134741400838028E-3</v>
      </c>
      <c r="AL35" s="100">
        <v>0.27229326928186204</v>
      </c>
      <c r="AM35" s="103">
        <f>'aij-UNIFAC (LLE)'!$D22*(1-LN(U35)-AG35)</f>
        <v>-0.76328597762842509</v>
      </c>
      <c r="AN35" s="104">
        <f>'aij-UNIFAC (LLE)'!$D22*(1-LN(V35)-AH35)</f>
        <v>0.93785694401958086</v>
      </c>
      <c r="AO35" s="104">
        <f>'aij-UNIFAC (LLE)'!$D22*(1-LN(W35)-AI35)</f>
        <v>1.0636210198047682</v>
      </c>
      <c r="AP35" s="104">
        <f>'aij-UNIFAC (LLE)'!$D22*(1-LN(X35)-AJ35)</f>
        <v>0.50227414988440966</v>
      </c>
      <c r="AQ35" s="104">
        <f>'aij-UNIFAC (LLE)'!$D22*(1-LN(Y35)-AK35)</f>
        <v>1.7697160726694647</v>
      </c>
      <c r="AR35" s="105">
        <f>'aij-UNIFAC (LLE)'!$D22*(1-LN(Z35)-AL35)</f>
        <v>-0.19079269123501602</v>
      </c>
      <c r="AS35" s="5"/>
      <c r="AT35" s="5"/>
    </row>
    <row r="36" spans="1:46">
      <c r="A36" s="35" t="str">
        <f>'aij-UNIFAC (LLE)'!B23</f>
        <v>CH3COO</v>
      </c>
      <c r="B36" s="193">
        <f>'UNIFAC (LLEa)'!B37</f>
        <v>0</v>
      </c>
      <c r="C36" s="193">
        <f>'UNIFAC (LLEa)'!C37</f>
        <v>0</v>
      </c>
      <c r="D36" s="193">
        <f>'UNIFAC (LLEa)'!D37</f>
        <v>0</v>
      </c>
      <c r="E36" s="193">
        <f>'UNIFAC (LLEa)'!E37</f>
        <v>0</v>
      </c>
      <c r="F36" s="193">
        <f>'UNIFAC (LLEa)'!F37</f>
        <v>0</v>
      </c>
      <c r="G36" s="83">
        <f t="array" ref="G36">SUM(B36:F36*$B$21:$F$21)</f>
        <v>0</v>
      </c>
      <c r="H36" s="36" t="str">
        <f t="shared" si="0"/>
        <v>CH3COO</v>
      </c>
      <c r="I36" s="95">
        <f t="shared" si="1"/>
        <v>0</v>
      </c>
      <c r="J36" s="96">
        <f t="shared" si="2"/>
        <v>0</v>
      </c>
      <c r="K36" s="96">
        <f t="shared" si="3"/>
        <v>0</v>
      </c>
      <c r="L36" s="96">
        <f t="shared" si="4"/>
        <v>0</v>
      </c>
      <c r="M36" s="96">
        <f t="shared" si="5"/>
        <v>0</v>
      </c>
      <c r="N36" s="97">
        <f t="shared" si="6"/>
        <v>0</v>
      </c>
      <c r="O36" s="95">
        <f>I36*'aij-UNIFAC (LLE)'!$D23/I$41</f>
        <v>0</v>
      </c>
      <c r="P36" s="96">
        <f>J36*'aij-UNIFAC (LLE)'!$D23/J$41</f>
        <v>0</v>
      </c>
      <c r="Q36" s="96">
        <f>K36*'aij-UNIFAC (LLE)'!$D23/K$41</f>
        <v>0</v>
      </c>
      <c r="R36" s="96">
        <f>L36*'aij-UNIFAC (LLE)'!$D23/L$41</f>
        <v>0</v>
      </c>
      <c r="S36" s="96">
        <f>M36*'aij-UNIFAC (LLE)'!$D23/M$41</f>
        <v>0</v>
      </c>
      <c r="T36" s="98">
        <f>N36*'aij-UNIFAC (LLE)'!$D23/N$41</f>
        <v>0</v>
      </c>
      <c r="U36" s="95">
        <v>1.0205862701372792</v>
      </c>
      <c r="V36" s="96">
        <v>0.14412353126623745</v>
      </c>
      <c r="W36" s="96">
        <v>0.61787069752529089</v>
      </c>
      <c r="X36" s="99">
        <v>0.27011165895078876</v>
      </c>
      <c r="Y36" s="99">
        <v>4.3488570016972379E-2</v>
      </c>
      <c r="Z36" s="100">
        <v>0.63972142228262219</v>
      </c>
      <c r="AA36" s="101">
        <f t="shared" si="7"/>
        <v>0</v>
      </c>
      <c r="AB36" s="102">
        <f t="shared" si="8"/>
        <v>0</v>
      </c>
      <c r="AC36" s="102">
        <f t="shared" si="9"/>
        <v>0</v>
      </c>
      <c r="AD36" s="102">
        <f t="shared" si="10"/>
        <v>0</v>
      </c>
      <c r="AE36" s="102">
        <f t="shared" si="11"/>
        <v>0</v>
      </c>
      <c r="AF36" s="97">
        <f t="shared" si="12"/>
        <v>0</v>
      </c>
      <c r="AG36" s="95">
        <v>0.28816078894676295</v>
      </c>
      <c r="AH36" s="99">
        <v>2.9519273689302867</v>
      </c>
      <c r="AI36" s="99">
        <v>1.803698397525241</v>
      </c>
      <c r="AJ36" s="99">
        <v>2.6470206524775732</v>
      </c>
      <c r="AK36" s="99">
        <v>2.80690162655715</v>
      </c>
      <c r="AL36" s="100">
        <v>2.028483553474568</v>
      </c>
      <c r="AM36" s="103">
        <f>'aij-UNIFAC (LLE)'!$D23*(1-LN(U36)-AG36)</f>
        <v>1.1948462914734901</v>
      </c>
      <c r="AN36" s="104">
        <f>'aij-UNIFAC (LLE)'!$D23*(1-LN(V36)-AH36)</f>
        <v>-2.5648492823743766E-2</v>
      </c>
      <c r="AO36" s="104">
        <f>'aij-UNIFAC (LLE)'!$D23*(1-LN(W36)-AI36)</f>
        <v>-0.55680018071792381</v>
      </c>
      <c r="AP36" s="104">
        <f>'aij-UNIFAC (LLE)'!$D23*(1-LN(X36)-AJ36)</f>
        <v>-0.58423818010949402</v>
      </c>
      <c r="AQ36" s="104">
        <f>'aij-UNIFAC (LLE)'!$D23*(1-LN(Y36)-AK36)</f>
        <v>2.2953983162478235</v>
      </c>
      <c r="AR36" s="105">
        <f>'aij-UNIFAC (LLE)'!$D23*(1-LN(Z36)-AL36)</f>
        <v>-1.0052831434785101</v>
      </c>
      <c r="AS36" s="5"/>
      <c r="AT36" s="5"/>
    </row>
    <row r="37" spans="1:46">
      <c r="A37" s="35" t="str">
        <f>'aij-UNIFAC (LLE)'!B24</f>
        <v>CH2O</v>
      </c>
      <c r="B37" s="193">
        <f>'UNIFAC (LLEa)'!B38</f>
        <v>0</v>
      </c>
      <c r="C37" s="193">
        <f>'UNIFAC (LLEa)'!C38</f>
        <v>0</v>
      </c>
      <c r="D37" s="193">
        <f>'UNIFAC (LLEa)'!D38</f>
        <v>0</v>
      </c>
      <c r="E37" s="193">
        <f>'UNIFAC (LLEa)'!E38</f>
        <v>0</v>
      </c>
      <c r="F37" s="193">
        <f>'UNIFAC (LLEa)'!F38</f>
        <v>0</v>
      </c>
      <c r="G37" s="83">
        <f t="array" ref="G37">SUM(B37:F37*$B$21:$F$21)</f>
        <v>0</v>
      </c>
      <c r="H37" s="36" t="str">
        <f t="shared" si="0"/>
        <v>CH2O</v>
      </c>
      <c r="I37" s="95">
        <f t="shared" si="1"/>
        <v>0</v>
      </c>
      <c r="J37" s="96">
        <f t="shared" si="2"/>
        <v>0</v>
      </c>
      <c r="K37" s="96">
        <f t="shared" si="3"/>
        <v>0</v>
      </c>
      <c r="L37" s="96">
        <f t="shared" si="4"/>
        <v>0</v>
      </c>
      <c r="M37" s="96">
        <f t="shared" si="5"/>
        <v>0</v>
      </c>
      <c r="N37" s="97">
        <f t="shared" si="6"/>
        <v>0</v>
      </c>
      <c r="O37" s="95">
        <f>I37*'aij-UNIFAC (LLE)'!$D24/I$41</f>
        <v>0</v>
      </c>
      <c r="P37" s="96">
        <f>J37*'aij-UNIFAC (LLE)'!$D24/J$41</f>
        <v>0</v>
      </c>
      <c r="Q37" s="96">
        <f>K37*'aij-UNIFAC (LLE)'!$D24/K$41</f>
        <v>0</v>
      </c>
      <c r="R37" s="96">
        <f>L37*'aij-UNIFAC (LLE)'!$D24/L$41</f>
        <v>0</v>
      </c>
      <c r="S37" s="96">
        <f>M37*'aij-UNIFAC (LLE)'!$D24/M$41</f>
        <v>0</v>
      </c>
      <c r="T37" s="98">
        <f>N37*'aij-UNIFAC (LLE)'!$D24/N$41</f>
        <v>0</v>
      </c>
      <c r="U37" s="95">
        <v>0.81244590233659419</v>
      </c>
      <c r="V37" s="96">
        <v>0.18224533250034464</v>
      </c>
      <c r="W37" s="96">
        <v>0.71259086973137675</v>
      </c>
      <c r="X37" s="99">
        <v>0.26233637516313413</v>
      </c>
      <c r="Y37" s="99">
        <v>0.11827137620056094</v>
      </c>
      <c r="Z37" s="100">
        <v>0.57744334496426275</v>
      </c>
      <c r="AA37" s="101">
        <f t="shared" si="7"/>
        <v>0</v>
      </c>
      <c r="AB37" s="102">
        <f t="shared" si="8"/>
        <v>0</v>
      </c>
      <c r="AC37" s="102">
        <f t="shared" si="9"/>
        <v>0</v>
      </c>
      <c r="AD37" s="102">
        <f t="shared" si="10"/>
        <v>0</v>
      </c>
      <c r="AE37" s="102">
        <f t="shared" si="11"/>
        <v>0</v>
      </c>
      <c r="AF37" s="97">
        <f t="shared" si="12"/>
        <v>0</v>
      </c>
      <c r="AG37" s="95">
        <v>0.5035261561371539</v>
      </c>
      <c r="AH37" s="99">
        <v>0.43929746970205219</v>
      </c>
      <c r="AI37" s="99">
        <v>0.42174669455432207</v>
      </c>
      <c r="AJ37" s="99">
        <v>0.56631060539988198</v>
      </c>
      <c r="AK37" s="99">
        <v>6.3120738963235393E-3</v>
      </c>
      <c r="AL37" s="100">
        <v>0.59212851547995282</v>
      </c>
      <c r="AM37" s="103">
        <f>'aij-UNIFAC (LLE)'!$D24*(1-LN(U37)-AG37)</f>
        <v>0.54926023822591685</v>
      </c>
      <c r="AN37" s="104">
        <f>'aij-UNIFAC (LLE)'!$D24*(1-LN(V37)-AH37)</f>
        <v>1.7652211583312429</v>
      </c>
      <c r="AO37" s="104">
        <f>'aij-UNIFAC (LLE)'!$D24*(1-LN(W37)-AI37)</f>
        <v>0.71533889228256209</v>
      </c>
      <c r="AP37" s="104">
        <f>'aij-UNIFAC (LLE)'!$D24*(1-LN(X37)-AJ37)</f>
        <v>1.3820173525197388</v>
      </c>
      <c r="AQ37" s="104">
        <f>'aij-UNIFAC (LLE)'!$D24*(1-LN(Y37)-AK37)</f>
        <v>2.4401999097830829</v>
      </c>
      <c r="AR37" s="105">
        <f>'aij-UNIFAC (LLE)'!$D24*(1-LN(Z37)-AL37)</f>
        <v>0.74647281530384957</v>
      </c>
      <c r="AS37" s="5"/>
      <c r="AT37" s="5"/>
    </row>
    <row r="38" spans="1:46">
      <c r="A38" s="35" t="str">
        <f>'aij-UNIFAC (LLE)'!B25</f>
        <v>CHCL2</v>
      </c>
      <c r="B38" s="193">
        <f>'UNIFAC (LLEa)'!B39</f>
        <v>0</v>
      </c>
      <c r="C38" s="193">
        <f>'UNIFAC (LLEa)'!C39</f>
        <v>0</v>
      </c>
      <c r="D38" s="193">
        <f>'UNIFAC (LLEa)'!D39</f>
        <v>0</v>
      </c>
      <c r="E38" s="193">
        <f>'UNIFAC (LLEa)'!E39</f>
        <v>0</v>
      </c>
      <c r="F38" s="193">
        <f>'UNIFAC (LLEa)'!F39</f>
        <v>0</v>
      </c>
      <c r="G38" s="83">
        <f t="array" ref="G38">SUM(B38:F38*$B$21:$F$21)</f>
        <v>0</v>
      </c>
      <c r="H38" s="36" t="str">
        <f t="shared" si="0"/>
        <v>CHCL2</v>
      </c>
      <c r="I38" s="95">
        <f t="shared" si="1"/>
        <v>0</v>
      </c>
      <c r="J38" s="96">
        <f t="shared" si="2"/>
        <v>0</v>
      </c>
      <c r="K38" s="96">
        <f t="shared" si="3"/>
        <v>0</v>
      </c>
      <c r="L38" s="96">
        <f t="shared" si="4"/>
        <v>0</v>
      </c>
      <c r="M38" s="96">
        <f t="shared" si="5"/>
        <v>0</v>
      </c>
      <c r="N38" s="97">
        <f t="shared" si="6"/>
        <v>0</v>
      </c>
      <c r="O38" s="95">
        <f>I38*'aij-UNIFAC (LLE)'!$D25/I$41</f>
        <v>0</v>
      </c>
      <c r="P38" s="96">
        <f>J38*'aij-UNIFAC (LLE)'!$D25/J$41</f>
        <v>0</v>
      </c>
      <c r="Q38" s="96">
        <f>K38*'aij-UNIFAC (LLE)'!$D25/K$41</f>
        <v>0</v>
      </c>
      <c r="R38" s="96">
        <f>L38*'aij-UNIFAC (LLE)'!$D25/L$41</f>
        <v>0</v>
      </c>
      <c r="S38" s="96">
        <f>M38*'aij-UNIFAC (LLE)'!$D25/M$41</f>
        <v>0</v>
      </c>
      <c r="T38" s="98">
        <f>N38*'aij-UNIFAC (LLE)'!$D25/N$41</f>
        <v>0</v>
      </c>
      <c r="U38" s="95">
        <v>0.30263491061532249</v>
      </c>
      <c r="V38" s="96">
        <v>1.8290195132021594</v>
      </c>
      <c r="W38" s="96">
        <v>1.0797034606882656</v>
      </c>
      <c r="X38" s="99">
        <v>1.3702552029907276</v>
      </c>
      <c r="Y38" s="99">
        <v>2.1954645856796855</v>
      </c>
      <c r="Z38" s="100">
        <v>0.98142983437485753</v>
      </c>
      <c r="AA38" s="101">
        <f t="shared" si="7"/>
        <v>0</v>
      </c>
      <c r="AB38" s="102">
        <f t="shared" si="8"/>
        <v>0</v>
      </c>
      <c r="AC38" s="102">
        <f t="shared" si="9"/>
        <v>0</v>
      </c>
      <c r="AD38" s="102">
        <f t="shared" si="10"/>
        <v>0</v>
      </c>
      <c r="AE38" s="102">
        <f t="shared" si="11"/>
        <v>0</v>
      </c>
      <c r="AF38" s="97">
        <f t="shared" si="12"/>
        <v>0</v>
      </c>
      <c r="AG38" s="95">
        <v>9.1883667613863629E-2</v>
      </c>
      <c r="AH38" s="99">
        <v>0.91647628449474028</v>
      </c>
      <c r="AI38" s="99">
        <v>0.98836523901570206</v>
      </c>
      <c r="AJ38" s="99">
        <v>0.8039956410126724</v>
      </c>
      <c r="AK38" s="99">
        <v>0.91397096711719517</v>
      </c>
      <c r="AL38" s="100">
        <v>0.7359636562733658</v>
      </c>
      <c r="AM38" s="103">
        <f>'aij-UNIFAC (LLE)'!$D25*(1-LN(U38)-AG38)</f>
        <v>3.5420320501190368</v>
      </c>
      <c r="AN38" s="104">
        <f>'aij-UNIFAC (LLE)'!$D25*(1-LN(V38)-AH38)</f>
        <v>-0.87611164730638214</v>
      </c>
      <c r="AO38" s="104">
        <f>'aij-UNIFAC (LLE)'!$D25*(1-LN(W38)-AI38)</f>
        <v>-0.10954701061764216</v>
      </c>
      <c r="AP38" s="104">
        <f>'aij-UNIFAC (LLE)'!$D25*(1-LN(X38)-AJ38)</f>
        <v>-0.20038361091320753</v>
      </c>
      <c r="AQ38" s="104">
        <f>'aij-UNIFAC (LLE)'!$D25*(1-LN(Y38)-AK38)</f>
        <v>-1.1794140665489421</v>
      </c>
      <c r="AR38" s="105">
        <f>'aij-UNIFAC (LLE)'!$D25*(1-LN(Z38)-AL38)</f>
        <v>0.47620337190100481</v>
      </c>
      <c r="AS38" s="5"/>
      <c r="AT38" s="5"/>
    </row>
    <row r="39" spans="1:46">
      <c r="A39" s="35" t="str">
        <f>'aij-UNIFAC (LLE)'!B26</f>
        <v>CCL3</v>
      </c>
      <c r="B39" s="193">
        <f>'UNIFAC (LLEa)'!B40</f>
        <v>0</v>
      </c>
      <c r="C39" s="193">
        <f>'UNIFAC (LLEa)'!C40</f>
        <v>0</v>
      </c>
      <c r="D39" s="193">
        <f>'UNIFAC (LLEa)'!D40</f>
        <v>0</v>
      </c>
      <c r="E39" s="193">
        <f>'UNIFAC (LLEa)'!E40</f>
        <v>0</v>
      </c>
      <c r="F39" s="193">
        <f>'UNIFAC (LLEa)'!F40</f>
        <v>0</v>
      </c>
      <c r="G39" s="83">
        <f t="array" ref="G39">SUM(B39:F39*$B$21:$F$21)</f>
        <v>0</v>
      </c>
      <c r="H39" s="36" t="str">
        <f t="shared" si="0"/>
        <v>CCL3</v>
      </c>
      <c r="I39" s="95">
        <f t="shared" si="1"/>
        <v>0</v>
      </c>
      <c r="J39" s="96">
        <f t="shared" si="2"/>
        <v>0</v>
      </c>
      <c r="K39" s="96">
        <f t="shared" si="3"/>
        <v>0</v>
      </c>
      <c r="L39" s="96">
        <f t="shared" si="4"/>
        <v>0</v>
      </c>
      <c r="M39" s="96">
        <f t="shared" si="5"/>
        <v>0</v>
      </c>
      <c r="N39" s="97">
        <f t="shared" si="6"/>
        <v>0</v>
      </c>
      <c r="O39" s="95">
        <f>I39*'aij-UNIFAC (LLE)'!$D26/I$41</f>
        <v>0</v>
      </c>
      <c r="P39" s="96">
        <f>J39*'aij-UNIFAC (LLE)'!$D26/J$41</f>
        <v>0</v>
      </c>
      <c r="Q39" s="96">
        <f>K39*'aij-UNIFAC (LLE)'!$D26/K$41</f>
        <v>0</v>
      </c>
      <c r="R39" s="96">
        <f>L39*'aij-UNIFAC (LLE)'!$D26/L$41</f>
        <v>0</v>
      </c>
      <c r="S39" s="96">
        <f>M39*'aij-UNIFAC (LLE)'!$D26/M$41</f>
        <v>0</v>
      </c>
      <c r="T39" s="98">
        <f>N39*'aij-UNIFAC (LLE)'!$D26/N$41</f>
        <v>0</v>
      </c>
      <c r="U39" s="95">
        <v>0.31650662947543057</v>
      </c>
      <c r="V39" s="96">
        <v>1.0262422434762672</v>
      </c>
      <c r="W39" s="96">
        <v>1.2933750959225938</v>
      </c>
      <c r="X39" s="99">
        <v>1.0890066680137283</v>
      </c>
      <c r="Y39" s="99">
        <v>0.97610819079017197</v>
      </c>
      <c r="Z39" s="100">
        <v>0.75818723132209853</v>
      </c>
      <c r="AA39" s="101">
        <f t="shared" si="7"/>
        <v>0</v>
      </c>
      <c r="AB39" s="102">
        <f t="shared" si="8"/>
        <v>0</v>
      </c>
      <c r="AC39" s="102">
        <f t="shared" si="9"/>
        <v>0</v>
      </c>
      <c r="AD39" s="102">
        <f t="shared" si="10"/>
        <v>0</v>
      </c>
      <c r="AE39" s="102">
        <f t="shared" si="11"/>
        <v>0</v>
      </c>
      <c r="AF39" s="97">
        <f t="shared" si="12"/>
        <v>0</v>
      </c>
      <c r="AG39" s="95">
        <v>7.7500399261456021E-2</v>
      </c>
      <c r="AH39" s="99">
        <v>1.031761930668982</v>
      </c>
      <c r="AI39" s="99">
        <v>0.84974666173366764</v>
      </c>
      <c r="AJ39" s="99">
        <v>0.94498228391974715</v>
      </c>
      <c r="AK39" s="99">
        <v>0.93383945090266818</v>
      </c>
      <c r="AL39" s="100">
        <v>0.70035239699970542</v>
      </c>
      <c r="AM39" s="103">
        <f>'aij-UNIFAC (LLE)'!$D26*(1-LN(U39)-AG39)</f>
        <v>4.5272369516467066</v>
      </c>
      <c r="AN39" s="104">
        <f>'aij-UNIFAC (LLE)'!$D26*(1-LN(V39)-AH39)</f>
        <v>-0.1259420073953853</v>
      </c>
      <c r="AO39" s="104">
        <f>'aij-UNIFAC (LLE)'!$D26*(1-LN(W39)-AI39)</f>
        <v>-0.2336919679811964</v>
      </c>
      <c r="AP39" s="104">
        <f>'aij-UNIFAC (LLE)'!$D26*(1-LN(X39)-AJ39)</f>
        <v>-6.6062179994209227E-2</v>
      </c>
      <c r="AQ39" s="104">
        <f>'aij-UNIFAC (LLE)'!$D26*(1-LN(Y39)-AK39)</f>
        <v>0.19730779415360916</v>
      </c>
      <c r="AR39" s="105">
        <f>'aij-UNIFAC (LLE)'!$D26*(1-LN(Z39)-AL39)</f>
        <v>1.2590159832869534</v>
      </c>
      <c r="AS39" s="5"/>
      <c r="AT39" s="5"/>
    </row>
    <row r="40" spans="1:46">
      <c r="A40" s="35" t="str">
        <f>'aij-UNIFAC (LLE)'!B27</f>
        <v>ACNH2</v>
      </c>
      <c r="B40" s="193">
        <f>'UNIFAC (LLEa)'!B41</f>
        <v>0</v>
      </c>
      <c r="C40" s="193">
        <f>'UNIFAC (LLEa)'!C41</f>
        <v>0</v>
      </c>
      <c r="D40" s="193">
        <f>'UNIFAC (LLEa)'!D41</f>
        <v>0</v>
      </c>
      <c r="E40" s="193">
        <f>'UNIFAC (LLEa)'!E41</f>
        <v>0</v>
      </c>
      <c r="F40" s="193">
        <f>'UNIFAC (LLEa)'!F41</f>
        <v>0</v>
      </c>
      <c r="G40" s="83">
        <f t="array" ref="G40">SUM(B40:F40*$B$21:$F$21)</f>
        <v>0</v>
      </c>
      <c r="H40" s="36" t="str">
        <f t="shared" si="0"/>
        <v>ACNH2</v>
      </c>
      <c r="I40" s="107">
        <f t="shared" si="1"/>
        <v>0</v>
      </c>
      <c r="J40" s="108">
        <f t="shared" si="2"/>
        <v>0</v>
      </c>
      <c r="K40" s="108">
        <f t="shared" si="3"/>
        <v>0</v>
      </c>
      <c r="L40" s="108">
        <f t="shared" si="4"/>
        <v>0</v>
      </c>
      <c r="M40" s="108">
        <f t="shared" si="5"/>
        <v>0</v>
      </c>
      <c r="N40" s="109">
        <f t="shared" si="6"/>
        <v>0</v>
      </c>
      <c r="O40" s="107">
        <f>I40*'aij-UNIFAC (LLE)'!$D27/I$41</f>
        <v>0</v>
      </c>
      <c r="P40" s="108">
        <f>J40*'aij-UNIFAC (LLE)'!$D27/J$41</f>
        <v>0</v>
      </c>
      <c r="Q40" s="108">
        <f>K40*'aij-UNIFAC (LLE)'!$D27/K$41</f>
        <v>0</v>
      </c>
      <c r="R40" s="108">
        <f>L40*'aij-UNIFAC (LLE)'!$D27/L$41</f>
        <v>0</v>
      </c>
      <c r="S40" s="108">
        <f>M40*'aij-UNIFAC (LLE)'!$D27/M$41</f>
        <v>0</v>
      </c>
      <c r="T40" s="110">
        <f>N40*'aij-UNIFAC (LLE)'!$D27/N$41</f>
        <v>0</v>
      </c>
      <c r="U40" s="107">
        <v>1.4247868837881006</v>
      </c>
      <c r="V40" s="108">
        <v>0.67606240257267036</v>
      </c>
      <c r="W40" s="108">
        <v>0.33781667307750768</v>
      </c>
      <c r="X40" s="111">
        <v>1.4541726108082567</v>
      </c>
      <c r="Y40" s="111">
        <v>5.4534865870911976E-2</v>
      </c>
      <c r="Z40" s="112">
        <v>0.94728510748023065</v>
      </c>
      <c r="AA40" s="113">
        <f t="shared" si="7"/>
        <v>0</v>
      </c>
      <c r="AB40" s="114">
        <f t="shared" si="8"/>
        <v>0</v>
      </c>
      <c r="AC40" s="114">
        <f t="shared" si="9"/>
        <v>0</v>
      </c>
      <c r="AD40" s="114">
        <f t="shared" si="10"/>
        <v>0</v>
      </c>
      <c r="AE40" s="114">
        <f t="shared" si="11"/>
        <v>0</v>
      </c>
      <c r="AF40" s="109">
        <f t="shared" si="12"/>
        <v>0</v>
      </c>
      <c r="AG40" s="107">
        <v>2.1666328285392735</v>
      </c>
      <c r="AH40" s="111">
        <v>0.64301044313905065</v>
      </c>
      <c r="AI40" s="111">
        <v>1.0455269194307031</v>
      </c>
      <c r="AJ40" s="111">
        <v>0.59507021182417685</v>
      </c>
      <c r="AK40" s="111">
        <v>0.56732525075035889</v>
      </c>
      <c r="AL40" s="112">
        <v>2.3880646390122333</v>
      </c>
      <c r="AM40" s="115">
        <f>'aij-UNIFAC (LLE)'!$D27*(1-LN(U40)-AG40)</f>
        <v>-1.2408545418845971</v>
      </c>
      <c r="AN40" s="116">
        <f>'aij-UNIFAC (LLE)'!$D27*(1-LN(V40)-AH40)</f>
        <v>0.61074291329102726</v>
      </c>
      <c r="AO40" s="116">
        <f>'aij-UNIFAC (LLE)'!$D27*(1-LN(W40)-AI40)</f>
        <v>0.84841559882356576</v>
      </c>
      <c r="AP40" s="116">
        <f>'aij-UNIFAC (LLE)'!$D27*(1-LN(X40)-AJ40)</f>
        <v>2.48820445561132E-2</v>
      </c>
      <c r="AQ40" s="116">
        <f>'aij-UNIFAC (LLE)'!$D27*(1-LN(Y40)-AK40)</f>
        <v>2.7267372689327658</v>
      </c>
      <c r="AR40" s="117">
        <f>'aij-UNIFAC (LLE)'!$D27*(1-LN(Z40)-AL40)</f>
        <v>-1.0884701289648284</v>
      </c>
      <c r="AS40" s="5"/>
      <c r="AT40" s="5"/>
    </row>
    <row r="41" spans="1:46">
      <c r="A41" s="82" t="s">
        <v>143</v>
      </c>
      <c r="B41" s="83">
        <f>B21*SUM(B23:B40)</f>
        <v>0.77291631056509436</v>
      </c>
      <c r="C41" s="83">
        <f>C21*SUM(C23:C40)</f>
        <v>1.2510000938454242</v>
      </c>
      <c r="D41" s="83">
        <f>D21*SUM(D23:D40)</f>
        <v>0.7927531110687267</v>
      </c>
      <c r="E41" s="83">
        <f>E21*SUM(E23:E40)</f>
        <v>2.9999999999999997E-20</v>
      </c>
      <c r="F41" s="83">
        <f>F21*SUM(F23:F40)</f>
        <v>4.9999999999999999E-20</v>
      </c>
      <c r="G41" s="83">
        <f>SUM(B41:F41)</f>
        <v>2.8166695154792452</v>
      </c>
      <c r="H41" s="118" t="s">
        <v>144</v>
      </c>
      <c r="I41" s="36">
        <f t="array" ref="I41">SUM(I23:I40*_QL)</f>
        <v>1.4</v>
      </c>
      <c r="J41" s="36">
        <f t="array" ref="J41">SUM(J23:J40*_QL)</f>
        <v>0.64755555555555555</v>
      </c>
      <c r="K41" s="36">
        <f t="array" ref="K41">SUM(K23:K40*_QL)</f>
        <v>0.61466666666666658</v>
      </c>
      <c r="L41" s="36">
        <f t="array" ref="L41">SUM(L23:L40*_QL)</f>
        <v>0.86266666666666658</v>
      </c>
      <c r="M41" s="36">
        <f t="array" ref="M41">SUM(M23:M40*_QL)</f>
        <v>0.66320000000000001</v>
      </c>
      <c r="N41" s="36">
        <f t="array" ref="N41">SUM(N23:N40*_QL)</f>
        <v>0.84477564540497663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 s="5"/>
      <c r="AT41" s="5"/>
    </row>
    <row r="42" spans="1:46">
      <c r="A42" s="35" t="s">
        <v>145</v>
      </c>
      <c r="B42" s="119">
        <f>SUM(B23:B40)</f>
        <v>1</v>
      </c>
      <c r="C42" s="119">
        <f>SUM(C23:C40)</f>
        <v>9</v>
      </c>
      <c r="D42" s="119">
        <f>SUM(D23:D40)</f>
        <v>9</v>
      </c>
      <c r="E42" s="119">
        <f>SUM(E23:E40)</f>
        <v>3</v>
      </c>
      <c r="F42" s="119">
        <f>SUM(F23:F40)</f>
        <v>5</v>
      </c>
      <c r="G42" s="120"/>
      <c r="H42" s="34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/>
      <c r="B43" s="119"/>
      <c r="C43" s="119"/>
      <c r="D43" s="119"/>
      <c r="E43" s="119"/>
      <c r="F43" s="119"/>
      <c r="G43" s="121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72" t="s">
        <v>44</v>
      </c>
      <c r="B44" s="58">
        <f t="array" ref="B44">SUM(B23:B40*_QL)</f>
        <v>1.4</v>
      </c>
      <c r="C44" s="58">
        <f t="array" ref="C44">SUM(C23:C40*_QL)</f>
        <v>5.8280000000000003</v>
      </c>
      <c r="D44" s="58">
        <f t="array" ref="D44">SUM(D23:D40*_QL)</f>
        <v>5.532</v>
      </c>
      <c r="E44" s="58">
        <f t="array" ref="E44">SUM(E23:E40*_QL)</f>
        <v>2.5880000000000001</v>
      </c>
      <c r="F44" s="58">
        <f t="array" ref="F44">SUM(F23:F40*_QL)</f>
        <v>3.3159999999999998</v>
      </c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35" t="s">
        <v>43</v>
      </c>
      <c r="B45" s="58">
        <f t="array" ref="B45">SUM(B23:B40*_RL)</f>
        <v>0.92</v>
      </c>
      <c r="C45" s="58">
        <f t="array" ref="C45">SUM(C23:C40*_RL)</f>
        <v>6.6219000000000001</v>
      </c>
      <c r="D45" s="58">
        <f t="array" ref="D45">SUM(D23:D40*_RL)</f>
        <v>7.0811999999999991</v>
      </c>
      <c r="E45" s="58">
        <f t="array" ref="E45">SUM(E23:E40*_RL)</f>
        <v>2.5754999999999999</v>
      </c>
      <c r="F45" s="58">
        <f t="array" ref="F45">SUM(F23:F40*_RL)</f>
        <v>3.8254000000000001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82" t="s">
        <v>146</v>
      </c>
      <c r="B46" s="58">
        <f>B21*B44/SUMPRODUCT($B44:$F44,$B21:$F21)</f>
        <v>0.45476101751993259</v>
      </c>
      <c r="C46" s="58">
        <f>C21*C44/SUMPRODUCT($B44:$F44,$B21:$F21)</f>
        <v>0.34045294685018385</v>
      </c>
      <c r="D46" s="58">
        <f>D21*D44/SUMPRODUCT($B44:$F44,$B21:$F21)</f>
        <v>0.20478603562988357</v>
      </c>
      <c r="E46" s="58">
        <f>E21*E44/SUMPRODUCT($B44:$F44,$B21:$F21)</f>
        <v>1.0876445642618106E-20</v>
      </c>
      <c r="F46" s="58">
        <f>F21*F44/SUMPRODUCT($B44:$F44,$B21:$F21)</f>
        <v>1.3935971310247927E-20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147</v>
      </c>
      <c r="B47" s="58">
        <f>B21*B45/SUMPRODUCT($B45:$F45,$B21:$F21)</f>
        <v>0.31529904646147655</v>
      </c>
      <c r="C47" s="58">
        <f>C21*C45/SUMPRODUCT($B45:$F45,$B21:$F21)</f>
        <v>0.40813121181001633</v>
      </c>
      <c r="D47" s="58">
        <f>D21*D45/SUMPRODUCT($B45:$F45,$B21:$F21)</f>
        <v>0.27656974172850701</v>
      </c>
      <c r="E47" s="58">
        <f>E21*E45/SUMPRODUCT($B45:$F45,$B21:$F21)</f>
        <v>1.1419942364385803E-20</v>
      </c>
      <c r="F47" s="58">
        <f>F21*F45/SUMPRODUCT($B45:$F45,$B21:$F21)</f>
        <v>1.6962084069392916E-20</v>
      </c>
      <c r="G47" s="121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72" t="s">
        <v>148</v>
      </c>
      <c r="B48" s="58">
        <f>LN(B47/B21)+(1-B47/B21)-5*B44*(LN(B47/B46)+(1-B47/B46))</f>
        <v>0.11247370993998707</v>
      </c>
      <c r="C48" s="58">
        <f>LN(C47/C21)+(1-C47/C21)-5*C44*(LN(C47/C46)+(1-C47/C46))</f>
        <v>-0.34979808542135804</v>
      </c>
      <c r="D48" s="58">
        <f>LN(D47/D21)+(1-D47/D21)-5*D44*(LN(D47/D46)+(1-D47/D46))</f>
        <v>0.38823525568696349</v>
      </c>
      <c r="E48" s="58">
        <f>LN(E47/E21)+(1-E47/E21)-5*E44*(LN(E47/E46)+(1-E47/E46))</f>
        <v>6.4186645998557494E-3</v>
      </c>
      <c r="F48" s="58">
        <f>LN(F47/F21)+(1-F47/F21)-5*F44*(LN(F47/F46)+(1-F47/F46))</f>
        <v>0.17434633995467153</v>
      </c>
      <c r="G48" s="121"/>
      <c r="I48" s="122"/>
    </row>
    <row r="49" spans="1:7">
      <c r="A49" s="72" t="s">
        <v>149</v>
      </c>
      <c r="B49" s="58">
        <f t="array" ref="B49">SUM(B23:B35*AM23:AM35)</f>
        <v>0</v>
      </c>
      <c r="C49" s="58">
        <f t="array" ref="C49">SUM(C23:C35*AN23:AN35)</f>
        <v>2.0920296427248477</v>
      </c>
      <c r="D49" s="58">
        <f t="array" ref="D49">SUM(D23:D35*AO23:AO35)</f>
        <v>1.323402417177389</v>
      </c>
      <c r="E49" s="58">
        <f t="array" ref="E49">SUM(E23:E35*AP23:AP35)</f>
        <v>1.2605797898195676</v>
      </c>
      <c r="F49" s="58">
        <f t="array" ref="F49">SUM(F23:F35*AQ23:AQ35)</f>
        <v>0</v>
      </c>
      <c r="G49" s="121"/>
    </row>
    <row r="50" spans="1:7">
      <c r="A50" s="72" t="s">
        <v>150</v>
      </c>
      <c r="B50" s="58">
        <f t="array" ref="B50">SUM(B23:B35*$AR23:$AR35)</f>
        <v>0.4591522828935804</v>
      </c>
      <c r="C50" s="58">
        <f t="array" ref="C50">SUM(C23:C35*$AR23:$AR35)</f>
        <v>3.6007603741412746</v>
      </c>
      <c r="D50" s="58">
        <f t="array" ref="D50">SUM(D23:D35*$AR23:$AR35)</f>
        <v>2.6606386795266177</v>
      </c>
      <c r="E50" s="58">
        <f t="array" ref="E50">SUM(E23:E35*$AR23:$AR35)</f>
        <v>1.0652506295670703</v>
      </c>
      <c r="F50" s="58">
        <f t="array" ref="F50">SUM(F23:F35*$AR23:$AR35)</f>
        <v>2.5949846645086607</v>
      </c>
    </row>
  </sheetData>
  <sheetProtection sheet="1" objects="1" scenarios="1"/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X62"/>
  <sheetViews>
    <sheetView zoomScale="90" workbookViewId="0">
      <pane xSplit="2" topLeftCell="C1" activePane="topRight" state="frozen"/>
      <selection activeCell="A4" sqref="A4"/>
      <selection pane="topRight"/>
    </sheetView>
  </sheetViews>
  <sheetFormatPr baseColWidth="10" defaultColWidth="9.1640625" defaultRowHeight="16"/>
  <cols>
    <col min="1" max="1" width="9.1640625" style="40" customWidth="1"/>
    <col min="2" max="2" width="8.1640625" style="39" customWidth="1"/>
    <col min="3" max="3" width="5.1640625" style="39" customWidth="1"/>
    <col min="4" max="4" width="7.6640625" style="39" customWidth="1"/>
    <col min="5" max="5" width="5.1640625" style="39" customWidth="1"/>
    <col min="6" max="6" width="5.6640625" style="39" customWidth="1"/>
    <col min="7" max="7" width="6.33203125" style="39" customWidth="1"/>
    <col min="8" max="9" width="6.1640625" style="39" customWidth="1"/>
    <col min="10" max="10" width="7" style="39" customWidth="1"/>
    <col min="11" max="11" width="5.1640625" style="39" customWidth="1"/>
    <col min="12" max="12" width="6.1640625" style="39" customWidth="1"/>
    <col min="13" max="14" width="5.6640625" style="39" customWidth="1"/>
    <col min="15" max="15" width="6.83203125" style="39" customWidth="1"/>
    <col min="16" max="16" width="5.1640625" style="39" customWidth="1"/>
    <col min="17" max="17" width="5.6640625" style="39" customWidth="1"/>
    <col min="18" max="18" width="7.33203125" style="39" customWidth="1"/>
    <col min="19" max="21" width="5.6640625" style="39" customWidth="1"/>
    <col min="22" max="22" width="6.33203125" style="39" customWidth="1"/>
    <col min="23" max="23" width="7.33203125" style="39" customWidth="1"/>
    <col min="24" max="24" width="9.1640625" style="39" customWidth="1"/>
    <col min="25" max="16384" width="9.1640625" style="40"/>
  </cols>
  <sheetData>
    <row r="1" spans="1:23">
      <c r="A1" s="123" t="s">
        <v>179</v>
      </c>
      <c r="K1"/>
    </row>
    <row r="2" spans="1:23">
      <c r="A2" s="123" t="s">
        <v>153</v>
      </c>
      <c r="K2"/>
    </row>
    <row r="3" spans="1:23" s="123" customFormat="1" ht="15">
      <c r="A3" s="123" t="s">
        <v>180</v>
      </c>
      <c r="K3"/>
    </row>
    <row r="4" spans="1:23" s="123" customFormat="1" ht="13">
      <c r="A4" s="123" t="s">
        <v>154</v>
      </c>
      <c r="K4"/>
    </row>
    <row r="5" spans="1:23" s="123" customFormat="1" ht="13">
      <c r="A5" s="123" t="s">
        <v>155</v>
      </c>
      <c r="J5" s="123" t="s">
        <v>181</v>
      </c>
      <c r="K5"/>
    </row>
    <row r="6" spans="1:23" s="123" customFormat="1" ht="13">
      <c r="A6" s="5" t="s">
        <v>156</v>
      </c>
      <c r="B6" s="123">
        <f>'UNIFAC (LLEa)'!B11</f>
        <v>37</v>
      </c>
      <c r="C6" s="123" t="s">
        <v>129</v>
      </c>
      <c r="J6" s="139" t="s">
        <v>182</v>
      </c>
      <c r="K6"/>
    </row>
    <row r="7" spans="1:23" ht="18">
      <c r="B7"/>
      <c r="C7"/>
      <c r="D7" s="43"/>
      <c r="E7" s="124" t="s">
        <v>157</v>
      </c>
      <c r="F7" s="43"/>
      <c r="G7" s="43"/>
      <c r="H7" s="43"/>
      <c r="I7" s="148" t="s">
        <v>183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23" s="147" customFormat="1" ht="13">
      <c r="A8" s="150" t="s">
        <v>158</v>
      </c>
      <c r="B8" s="149"/>
      <c r="C8" s="149"/>
      <c r="E8" s="147">
        <f>A10</f>
        <v>1</v>
      </c>
      <c r="F8" s="147">
        <f>A11</f>
        <v>0</v>
      </c>
      <c r="G8" s="147">
        <f>A12</f>
        <v>0</v>
      </c>
      <c r="H8" s="147">
        <f>A13</f>
        <v>3</v>
      </c>
      <c r="I8" s="147">
        <f>A14</f>
        <v>4</v>
      </c>
      <c r="J8" s="147">
        <f>A15</f>
        <v>0</v>
      </c>
      <c r="K8" s="147">
        <f>A16</f>
        <v>5</v>
      </c>
      <c r="L8" s="147">
        <f>A17</f>
        <v>7</v>
      </c>
      <c r="M8" s="147">
        <f>A18</f>
        <v>8</v>
      </c>
      <c r="N8" s="147">
        <f>A19</f>
        <v>9</v>
      </c>
      <c r="O8" s="147">
        <f>A20</f>
        <v>10</v>
      </c>
      <c r="P8" s="147">
        <f>A21</f>
        <v>11</v>
      </c>
      <c r="Q8" s="147">
        <f>A22</f>
        <v>13</v>
      </c>
      <c r="R8" s="147">
        <f>A23</f>
        <v>14</v>
      </c>
      <c r="S8" s="147">
        <f>A24</f>
        <v>15</v>
      </c>
      <c r="T8" s="147">
        <f>A25</f>
        <v>17</v>
      </c>
      <c r="U8" s="147">
        <f>A26</f>
        <v>18</v>
      </c>
      <c r="V8" s="147">
        <f>A27</f>
        <v>22</v>
      </c>
    </row>
    <row r="9" spans="1:23">
      <c r="A9" s="123" t="s">
        <v>159</v>
      </c>
      <c r="B9"/>
      <c r="C9" s="125" t="s">
        <v>160</v>
      </c>
      <c r="D9" s="125" t="s">
        <v>135</v>
      </c>
      <c r="E9" s="125" t="str">
        <f>B10</f>
        <v>CH3</v>
      </c>
      <c r="F9" s="125" t="str">
        <f>B11</f>
        <v>CH2</v>
      </c>
      <c r="G9" s="125" t="str">
        <f>B12</f>
        <v>CH</v>
      </c>
      <c r="H9" s="125" t="str">
        <f>B13</f>
        <v>ACH</v>
      </c>
      <c r="I9" s="125" t="str">
        <f>B14</f>
        <v>ACCH2</v>
      </c>
      <c r="J9" s="125" t="str">
        <f>B15</f>
        <v>ACCH3</v>
      </c>
      <c r="K9" s="125" t="str">
        <f>B16</f>
        <v>OH</v>
      </c>
      <c r="L9" s="125" t="str">
        <f>B17</f>
        <v>2-Propanol</v>
      </c>
      <c r="M9" s="125" t="str">
        <f>B18</f>
        <v>H2O</v>
      </c>
      <c r="N9" s="125" t="str">
        <f>B19</f>
        <v>ACOH</v>
      </c>
      <c r="O9" s="125" t="str">
        <f>B20</f>
        <v>CH3CO</v>
      </c>
      <c r="P9" s="125" t="str">
        <f>B21</f>
        <v>CHO</v>
      </c>
      <c r="Q9" s="125" t="str">
        <f>B22</f>
        <v>COOH</v>
      </c>
      <c r="R9" s="132" t="str">
        <f>B23</f>
        <v>CH3COO</v>
      </c>
      <c r="S9" s="132" t="str">
        <f>B24</f>
        <v>CH2O</v>
      </c>
      <c r="T9" s="132" t="str">
        <f>B25</f>
        <v>CHCL2</v>
      </c>
      <c r="U9" s="132" t="str">
        <f>B26</f>
        <v>CCL3</v>
      </c>
      <c r="V9" s="132" t="str">
        <f>B27</f>
        <v>ACNH2</v>
      </c>
      <c r="W9" s="41"/>
    </row>
    <row r="10" spans="1:23">
      <c r="A10" s="40">
        <v>1</v>
      </c>
      <c r="B10" s="126" t="s">
        <v>161</v>
      </c>
      <c r="C10" s="129">
        <v>0.90110000000000001</v>
      </c>
      <c r="D10" s="131">
        <v>0.84799999999999998</v>
      </c>
      <c r="E10" s="129">
        <v>0</v>
      </c>
      <c r="F10" s="130">
        <v>0</v>
      </c>
      <c r="G10" s="130">
        <v>0</v>
      </c>
      <c r="H10" s="130">
        <v>-114.8</v>
      </c>
      <c r="I10" s="130">
        <v>-115.7</v>
      </c>
      <c r="J10" s="130">
        <v>-115.7</v>
      </c>
      <c r="K10" s="130">
        <v>644.6</v>
      </c>
      <c r="L10" s="130">
        <v>310.7</v>
      </c>
      <c r="M10" s="130">
        <v>1300</v>
      </c>
      <c r="N10" s="130">
        <v>2255</v>
      </c>
      <c r="O10" s="130">
        <v>472.6</v>
      </c>
      <c r="P10" s="130">
        <v>158.1</v>
      </c>
      <c r="Q10" s="130">
        <v>139.4</v>
      </c>
      <c r="R10" s="130">
        <v>972.4</v>
      </c>
      <c r="S10" s="130">
        <v>662.1</v>
      </c>
      <c r="T10" s="130">
        <v>-243.9</v>
      </c>
      <c r="U10" s="130">
        <v>7.5</v>
      </c>
      <c r="V10" s="131">
        <v>902.2</v>
      </c>
      <c r="W10" s="132" t="str">
        <f t="shared" ref="W10:W27" si="0">B10</f>
        <v>CH3</v>
      </c>
    </row>
    <row r="11" spans="1:23">
      <c r="B11" s="126" t="s">
        <v>162</v>
      </c>
      <c r="C11" s="127">
        <v>0.6744</v>
      </c>
      <c r="D11" s="128">
        <v>0.54</v>
      </c>
      <c r="E11" s="127">
        <v>0</v>
      </c>
      <c r="F11" s="133">
        <v>0</v>
      </c>
      <c r="G11" s="133">
        <v>0</v>
      </c>
      <c r="H11" s="133">
        <v>-114.8</v>
      </c>
      <c r="I11" s="133">
        <v>-115.7</v>
      </c>
      <c r="J11" s="133">
        <v>-115.7</v>
      </c>
      <c r="K11" s="133">
        <v>644.6</v>
      </c>
      <c r="L11" s="133">
        <v>310.7</v>
      </c>
      <c r="M11" s="133">
        <v>1300</v>
      </c>
      <c r="N11" s="133">
        <v>2255</v>
      </c>
      <c r="O11" s="133">
        <v>472.6</v>
      </c>
      <c r="P11" s="133">
        <v>158.1</v>
      </c>
      <c r="Q11" s="133">
        <v>139.4</v>
      </c>
      <c r="R11" s="133">
        <v>972.4</v>
      </c>
      <c r="S11" s="133">
        <v>662.1</v>
      </c>
      <c r="T11" s="133">
        <v>-243.9</v>
      </c>
      <c r="U11" s="133">
        <v>7.5</v>
      </c>
      <c r="V11" s="128">
        <v>902.2</v>
      </c>
      <c r="W11" s="132" t="str">
        <f t="shared" si="0"/>
        <v>CH2</v>
      </c>
    </row>
    <row r="12" spans="1:23">
      <c r="B12" s="126" t="s">
        <v>163</v>
      </c>
      <c r="C12" s="127">
        <v>0.44690000000000002</v>
      </c>
      <c r="D12" s="128">
        <v>0.22800000000000001</v>
      </c>
      <c r="E12" s="127">
        <v>0</v>
      </c>
      <c r="F12" s="133">
        <v>0</v>
      </c>
      <c r="G12" s="133">
        <v>0</v>
      </c>
      <c r="H12" s="133">
        <v>-114.8</v>
      </c>
      <c r="I12" s="133">
        <v>-115.7</v>
      </c>
      <c r="J12" s="133">
        <v>-115.7</v>
      </c>
      <c r="K12" s="133">
        <v>644.6</v>
      </c>
      <c r="L12" s="133">
        <v>310.7</v>
      </c>
      <c r="M12" s="133">
        <v>1300</v>
      </c>
      <c r="N12" s="133">
        <v>2255</v>
      </c>
      <c r="O12" s="133">
        <v>472.6</v>
      </c>
      <c r="P12" s="133">
        <v>158.1</v>
      </c>
      <c r="Q12" s="133">
        <v>139.4</v>
      </c>
      <c r="R12" s="133">
        <v>972.4</v>
      </c>
      <c r="S12" s="133">
        <v>662.1</v>
      </c>
      <c r="T12" s="133">
        <v>-243.9</v>
      </c>
      <c r="U12" s="133">
        <v>7.5</v>
      </c>
      <c r="V12" s="128">
        <v>902.2</v>
      </c>
      <c r="W12" s="132" t="str">
        <f t="shared" si="0"/>
        <v>CH</v>
      </c>
    </row>
    <row r="13" spans="1:23">
      <c r="A13" s="40">
        <v>3</v>
      </c>
      <c r="B13" s="126" t="s">
        <v>164</v>
      </c>
      <c r="C13" s="127">
        <v>0.53129999999999999</v>
      </c>
      <c r="D13" s="128">
        <v>0.4</v>
      </c>
      <c r="E13" s="127">
        <v>156.5</v>
      </c>
      <c r="F13" s="133">
        <v>156.5</v>
      </c>
      <c r="G13" s="133">
        <v>156.5</v>
      </c>
      <c r="H13" s="133">
        <v>0</v>
      </c>
      <c r="I13" s="133">
        <v>167</v>
      </c>
      <c r="J13" s="133">
        <v>167</v>
      </c>
      <c r="K13" s="133">
        <v>703.9</v>
      </c>
      <c r="L13" s="133">
        <v>577.29999999999995</v>
      </c>
      <c r="M13" s="133">
        <v>859.4</v>
      </c>
      <c r="N13" s="133">
        <v>1649</v>
      </c>
      <c r="O13" s="133">
        <v>593.70000000000005</v>
      </c>
      <c r="P13" s="133">
        <v>362.3</v>
      </c>
      <c r="Q13" s="133">
        <v>461.8</v>
      </c>
      <c r="R13" s="133">
        <v>6</v>
      </c>
      <c r="S13" s="133">
        <v>32.14</v>
      </c>
      <c r="T13" s="133"/>
      <c r="U13" s="133">
        <v>-231.9</v>
      </c>
      <c r="V13" s="128">
        <v>1.64</v>
      </c>
      <c r="W13" s="132" t="str">
        <f t="shared" si="0"/>
        <v>ACH</v>
      </c>
    </row>
    <row r="14" spans="1:23">
      <c r="A14" s="40">
        <v>4</v>
      </c>
      <c r="B14" s="126" t="s">
        <v>165</v>
      </c>
      <c r="C14" s="127">
        <v>1.0396000000000001</v>
      </c>
      <c r="D14" s="128">
        <v>0.66</v>
      </c>
      <c r="E14" s="133">
        <v>104.4</v>
      </c>
      <c r="F14" s="133">
        <v>104.4</v>
      </c>
      <c r="G14" s="133">
        <v>104.4</v>
      </c>
      <c r="H14" s="133">
        <v>-146.80000000000001</v>
      </c>
      <c r="I14" s="133">
        <v>0</v>
      </c>
      <c r="J14" s="133">
        <v>0</v>
      </c>
      <c r="K14" s="133">
        <v>4000</v>
      </c>
      <c r="L14" s="133">
        <v>906.8</v>
      </c>
      <c r="M14" s="133">
        <v>5695</v>
      </c>
      <c r="N14" s="133">
        <v>292.60000000000002</v>
      </c>
      <c r="O14" s="133">
        <v>916.7</v>
      </c>
      <c r="P14" s="133">
        <v>1218</v>
      </c>
      <c r="Q14" s="133">
        <v>339.1</v>
      </c>
      <c r="R14" s="133">
        <v>5688</v>
      </c>
      <c r="S14" s="133">
        <v>213.1</v>
      </c>
      <c r="T14" s="133"/>
      <c r="U14" s="133">
        <v>-12.14</v>
      </c>
      <c r="V14" s="128">
        <v>689.6</v>
      </c>
      <c r="W14" s="132" t="str">
        <f t="shared" si="0"/>
        <v>ACCH2</v>
      </c>
    </row>
    <row r="15" spans="1:23">
      <c r="B15" s="126" t="s">
        <v>166</v>
      </c>
      <c r="C15" s="127">
        <v>1.2663</v>
      </c>
      <c r="D15" s="128">
        <v>0.96799999999999997</v>
      </c>
      <c r="E15" s="133">
        <v>104.4</v>
      </c>
      <c r="F15" s="133">
        <v>104.4</v>
      </c>
      <c r="G15" s="133">
        <v>104.4</v>
      </c>
      <c r="H15" s="133">
        <v>-146.80000000000001</v>
      </c>
      <c r="I15" s="133">
        <v>0</v>
      </c>
      <c r="J15" s="133">
        <v>0</v>
      </c>
      <c r="K15" s="133">
        <v>4000</v>
      </c>
      <c r="L15" s="133">
        <v>906.8</v>
      </c>
      <c r="M15" s="133">
        <v>5695</v>
      </c>
      <c r="N15" s="133">
        <v>292.60000000000002</v>
      </c>
      <c r="O15" s="133">
        <v>916.7</v>
      </c>
      <c r="P15" s="133">
        <v>1218</v>
      </c>
      <c r="Q15" s="133">
        <v>339.1</v>
      </c>
      <c r="R15" s="133">
        <v>5688</v>
      </c>
      <c r="S15" s="133">
        <v>213.1</v>
      </c>
      <c r="T15" s="133"/>
      <c r="U15" s="133">
        <v>-12.14</v>
      </c>
      <c r="V15" s="128">
        <v>689.6</v>
      </c>
      <c r="W15" s="132" t="str">
        <f t="shared" si="0"/>
        <v>ACCH3</v>
      </c>
    </row>
    <row r="16" spans="1:23">
      <c r="A16" s="40">
        <v>5</v>
      </c>
      <c r="B16" s="126" t="s">
        <v>167</v>
      </c>
      <c r="C16" s="127">
        <v>1</v>
      </c>
      <c r="D16" s="128">
        <v>1.2</v>
      </c>
      <c r="E16" s="127">
        <v>328.2</v>
      </c>
      <c r="F16" s="133">
        <v>328.2</v>
      </c>
      <c r="G16" s="133">
        <v>328.2</v>
      </c>
      <c r="H16" s="133">
        <v>-9.2100000000000009</v>
      </c>
      <c r="I16" s="133">
        <v>1.27</v>
      </c>
      <c r="J16" s="133">
        <v>1.27</v>
      </c>
      <c r="K16" s="133">
        <v>0</v>
      </c>
      <c r="L16" s="133">
        <v>991.3</v>
      </c>
      <c r="M16" s="133">
        <v>28.73</v>
      </c>
      <c r="N16" s="133">
        <v>-195.5</v>
      </c>
      <c r="O16" s="133">
        <v>67.069999999999993</v>
      </c>
      <c r="P16" s="133">
        <v>1409</v>
      </c>
      <c r="Q16" s="133">
        <v>-104</v>
      </c>
      <c r="R16" s="133">
        <v>195.6</v>
      </c>
      <c r="S16" s="133">
        <v>262.5</v>
      </c>
      <c r="T16" s="133">
        <v>272.2</v>
      </c>
      <c r="U16" s="133">
        <v>-61.57</v>
      </c>
      <c r="V16" s="128">
        <v>-348.2</v>
      </c>
      <c r="W16" s="132" t="str">
        <f t="shared" si="0"/>
        <v>OH</v>
      </c>
    </row>
    <row r="17" spans="1:24">
      <c r="A17" s="40">
        <v>7</v>
      </c>
      <c r="B17" s="126" t="s">
        <v>245</v>
      </c>
      <c r="C17" s="127">
        <v>3.2490999999999999</v>
      </c>
      <c r="D17" s="128">
        <v>3.1240000000000001</v>
      </c>
      <c r="E17" s="127">
        <v>-131.9</v>
      </c>
      <c r="F17" s="133">
        <v>-131.9</v>
      </c>
      <c r="G17" s="133">
        <v>-131.9</v>
      </c>
      <c r="H17" s="133">
        <v>-252</v>
      </c>
      <c r="I17" s="133">
        <v>-273.60000000000002</v>
      </c>
      <c r="J17" s="133">
        <v>-273.60000000000002</v>
      </c>
      <c r="K17" s="133">
        <v>-268.8</v>
      </c>
      <c r="L17" s="133">
        <v>0</v>
      </c>
      <c r="M17" s="133">
        <v>5.89</v>
      </c>
      <c r="N17" s="133">
        <v>-153.19999999999999</v>
      </c>
      <c r="O17" s="133">
        <v>353.8</v>
      </c>
      <c r="P17" s="133">
        <v>-338.6</v>
      </c>
      <c r="Q17" s="133">
        <v>-57.98</v>
      </c>
      <c r="R17" s="133">
        <v>487.1</v>
      </c>
      <c r="S17" s="133">
        <v>1970</v>
      </c>
      <c r="T17" s="133">
        <v>507.8</v>
      </c>
      <c r="U17" s="133">
        <v>1544</v>
      </c>
      <c r="V17" s="128"/>
      <c r="W17" s="132" t="str">
        <f t="shared" si="0"/>
        <v>2-Propanol</v>
      </c>
    </row>
    <row r="18" spans="1:24">
      <c r="A18" s="40">
        <v>8</v>
      </c>
      <c r="B18" s="126" t="s">
        <v>169</v>
      </c>
      <c r="C18" s="127">
        <v>0.92</v>
      </c>
      <c r="D18" s="128">
        <v>1.4</v>
      </c>
      <c r="E18" s="127">
        <v>342.4</v>
      </c>
      <c r="F18" s="133">
        <v>342.4</v>
      </c>
      <c r="G18" s="133">
        <v>342.4</v>
      </c>
      <c r="H18" s="133">
        <v>372.8</v>
      </c>
      <c r="I18" s="133">
        <v>203.7</v>
      </c>
      <c r="J18" s="133">
        <v>203.7</v>
      </c>
      <c r="K18" s="133">
        <v>-122.4</v>
      </c>
      <c r="L18" s="133">
        <v>104.9</v>
      </c>
      <c r="M18" s="133">
        <v>0</v>
      </c>
      <c r="N18" s="133">
        <v>344.5</v>
      </c>
      <c r="O18" s="133">
        <v>-171.8</v>
      </c>
      <c r="P18" s="133">
        <v>-349.9</v>
      </c>
      <c r="Q18" s="133">
        <v>-465.7</v>
      </c>
      <c r="R18" s="133">
        <v>-6.32</v>
      </c>
      <c r="S18" s="133">
        <v>64.42</v>
      </c>
      <c r="T18" s="133">
        <v>370.7</v>
      </c>
      <c r="U18" s="133">
        <v>356.8</v>
      </c>
      <c r="V18" s="128">
        <v>-109.8</v>
      </c>
      <c r="W18" s="132" t="str">
        <f t="shared" si="0"/>
        <v>H2O</v>
      </c>
    </row>
    <row r="19" spans="1:24">
      <c r="A19" s="40">
        <v>9</v>
      </c>
      <c r="B19" s="126" t="s">
        <v>170</v>
      </c>
      <c r="C19" s="127">
        <v>0.8952</v>
      </c>
      <c r="D19" s="128">
        <v>0.68</v>
      </c>
      <c r="E19" s="127">
        <v>-159.80000000000001</v>
      </c>
      <c r="F19" s="133">
        <v>-159.80000000000001</v>
      </c>
      <c r="G19" s="133">
        <v>-159.80000000000001</v>
      </c>
      <c r="H19" s="133">
        <v>-473.2</v>
      </c>
      <c r="I19" s="133">
        <v>-470.4</v>
      </c>
      <c r="J19" s="133">
        <v>-470.4</v>
      </c>
      <c r="K19" s="133">
        <v>-63.15</v>
      </c>
      <c r="L19" s="133">
        <v>-547.20000000000005</v>
      </c>
      <c r="M19" s="133">
        <v>-595.9</v>
      </c>
      <c r="N19" s="133">
        <v>0</v>
      </c>
      <c r="O19" s="133">
        <v>-825.7</v>
      </c>
      <c r="P19" s="133"/>
      <c r="Q19" s="133"/>
      <c r="R19" s="133">
        <v>-898.3</v>
      </c>
      <c r="S19" s="133"/>
      <c r="T19" s="133"/>
      <c r="U19" s="133"/>
      <c r="V19" s="128">
        <v>-851.6</v>
      </c>
      <c r="W19" s="132" t="str">
        <f t="shared" si="0"/>
        <v>ACOH</v>
      </c>
    </row>
    <row r="20" spans="1:24">
      <c r="A20" s="40">
        <v>10</v>
      </c>
      <c r="B20" s="126" t="s">
        <v>171</v>
      </c>
      <c r="C20" s="127">
        <v>1.6724000000000001</v>
      </c>
      <c r="D20" s="128">
        <v>1.488</v>
      </c>
      <c r="E20" s="127">
        <v>66.56</v>
      </c>
      <c r="F20" s="133">
        <v>66.56</v>
      </c>
      <c r="G20" s="133">
        <v>66.56</v>
      </c>
      <c r="H20" s="133">
        <v>-78.31</v>
      </c>
      <c r="I20" s="133">
        <v>-73.87</v>
      </c>
      <c r="J20" s="133">
        <v>-73.87</v>
      </c>
      <c r="K20" s="133">
        <v>216</v>
      </c>
      <c r="L20" s="133">
        <v>-127.6</v>
      </c>
      <c r="M20" s="133">
        <v>634.79999999999995</v>
      </c>
      <c r="N20" s="133">
        <v>-568</v>
      </c>
      <c r="O20" s="133">
        <v>0</v>
      </c>
      <c r="P20" s="133">
        <v>-37.36</v>
      </c>
      <c r="Q20" s="133">
        <v>1247</v>
      </c>
      <c r="R20" s="133">
        <v>258.7</v>
      </c>
      <c r="S20" s="133">
        <v>5.202</v>
      </c>
      <c r="T20" s="133">
        <v>-301</v>
      </c>
      <c r="U20" s="133">
        <v>12.01</v>
      </c>
      <c r="V20" s="128">
        <v>1010</v>
      </c>
      <c r="W20" s="132" t="str">
        <f t="shared" si="0"/>
        <v>CH3CO</v>
      </c>
    </row>
    <row r="21" spans="1:24">
      <c r="A21" s="40">
        <v>11</v>
      </c>
      <c r="B21" s="126" t="s">
        <v>172</v>
      </c>
      <c r="C21" s="127">
        <v>0.998</v>
      </c>
      <c r="D21" s="128">
        <v>0.94799999999999995</v>
      </c>
      <c r="E21" s="127">
        <v>146.1</v>
      </c>
      <c r="F21" s="133">
        <v>146.1</v>
      </c>
      <c r="G21" s="133">
        <v>146.1</v>
      </c>
      <c r="H21" s="133">
        <v>-75.3</v>
      </c>
      <c r="I21" s="133">
        <v>223.2</v>
      </c>
      <c r="J21" s="133">
        <v>223.2</v>
      </c>
      <c r="K21" s="133">
        <v>-431.3</v>
      </c>
      <c r="L21" s="133">
        <v>231.4</v>
      </c>
      <c r="M21" s="133">
        <v>623.70000000000005</v>
      </c>
      <c r="N21" s="133"/>
      <c r="O21" s="133">
        <v>128</v>
      </c>
      <c r="P21" s="133">
        <v>0</v>
      </c>
      <c r="Q21" s="133">
        <v>0.75</v>
      </c>
      <c r="R21" s="133">
        <v>-245.8</v>
      </c>
      <c r="S21" s="133"/>
      <c r="T21" s="133"/>
      <c r="U21" s="133"/>
      <c r="V21" s="128"/>
      <c r="W21" s="132" t="str">
        <f t="shared" si="0"/>
        <v>CHO</v>
      </c>
    </row>
    <row r="22" spans="1:24">
      <c r="A22" s="40">
        <v>13</v>
      </c>
      <c r="B22" s="126" t="s">
        <v>175</v>
      </c>
      <c r="C22" s="127">
        <v>1.3012999999999999</v>
      </c>
      <c r="D22" s="128">
        <v>1.224</v>
      </c>
      <c r="E22" s="127">
        <v>1744</v>
      </c>
      <c r="F22" s="133">
        <v>1744</v>
      </c>
      <c r="G22" s="133">
        <v>1744</v>
      </c>
      <c r="H22" s="133">
        <v>75.489999999999995</v>
      </c>
      <c r="I22" s="133">
        <v>147.30000000000001</v>
      </c>
      <c r="J22" s="133">
        <v>147.30000000000001</v>
      </c>
      <c r="K22" s="133">
        <v>118.4</v>
      </c>
      <c r="L22" s="133">
        <v>349.1</v>
      </c>
      <c r="M22" s="133">
        <v>652.29999999999995</v>
      </c>
      <c r="N22" s="133"/>
      <c r="O22" s="133">
        <v>-101.3</v>
      </c>
      <c r="P22" s="133">
        <v>1051</v>
      </c>
      <c r="Q22" s="133">
        <v>0</v>
      </c>
      <c r="R22" s="133">
        <v>-117.6</v>
      </c>
      <c r="S22" s="133">
        <v>-96.62</v>
      </c>
      <c r="T22" s="133">
        <v>1670</v>
      </c>
      <c r="U22" s="133">
        <v>48.15</v>
      </c>
      <c r="V22" s="128">
        <v>942.2</v>
      </c>
      <c r="W22" s="132" t="str">
        <f t="shared" si="0"/>
        <v>COOH</v>
      </c>
    </row>
    <row r="23" spans="1:24">
      <c r="A23" s="40">
        <v>14</v>
      </c>
      <c r="B23" s="126" t="s">
        <v>173</v>
      </c>
      <c r="C23" s="127">
        <v>1.9031</v>
      </c>
      <c r="D23" s="128">
        <v>1.728</v>
      </c>
      <c r="E23" s="133">
        <v>-320.10000000000002</v>
      </c>
      <c r="F23" s="133">
        <v>-320.10000000000002</v>
      </c>
      <c r="G23" s="133">
        <v>-320.10000000000002</v>
      </c>
      <c r="H23" s="133">
        <v>114.8</v>
      </c>
      <c r="I23" s="133">
        <v>-170</v>
      </c>
      <c r="J23" s="133">
        <v>-170</v>
      </c>
      <c r="K23" s="133">
        <v>180.6</v>
      </c>
      <c r="L23" s="133">
        <v>-152.80000000000001</v>
      </c>
      <c r="M23" s="133">
        <v>385.9</v>
      </c>
      <c r="N23" s="133">
        <v>-337.3</v>
      </c>
      <c r="O23" s="133">
        <v>58.84</v>
      </c>
      <c r="P23" s="133">
        <v>1090</v>
      </c>
      <c r="Q23" s="133">
        <v>1417</v>
      </c>
      <c r="R23" s="133">
        <v>0</v>
      </c>
      <c r="S23" s="133">
        <v>-235.7</v>
      </c>
      <c r="T23" s="133">
        <v>108.9</v>
      </c>
      <c r="U23" s="133">
        <v>-209.7</v>
      </c>
      <c r="V23" s="128"/>
      <c r="W23" s="132" t="str">
        <f t="shared" si="0"/>
        <v>CH3COO</v>
      </c>
    </row>
    <row r="24" spans="1:24">
      <c r="A24" s="40">
        <v>15</v>
      </c>
      <c r="B24" s="126" t="s">
        <v>184</v>
      </c>
      <c r="C24" s="127">
        <v>0.91830000000000001</v>
      </c>
      <c r="D24" s="128">
        <v>0.78</v>
      </c>
      <c r="E24" s="133">
        <v>1571</v>
      </c>
      <c r="F24" s="133">
        <v>1571</v>
      </c>
      <c r="G24" s="133">
        <v>1571</v>
      </c>
      <c r="H24" s="133">
        <v>52.13</v>
      </c>
      <c r="I24" s="133">
        <v>65.69</v>
      </c>
      <c r="J24" s="133">
        <v>65.69</v>
      </c>
      <c r="K24" s="133">
        <v>137.1</v>
      </c>
      <c r="L24" s="133">
        <v>-218.1</v>
      </c>
      <c r="M24" s="133">
        <v>212.8</v>
      </c>
      <c r="N24" s="133"/>
      <c r="O24" s="133">
        <v>52.38</v>
      </c>
      <c r="P24" s="133"/>
      <c r="Q24" s="133">
        <v>1402</v>
      </c>
      <c r="R24" s="133">
        <v>461.3</v>
      </c>
      <c r="S24" s="133">
        <v>0</v>
      </c>
      <c r="T24" s="133">
        <v>137.80000000000001</v>
      </c>
      <c r="U24" s="133">
        <v>-154.30000000000001</v>
      </c>
      <c r="V24" s="128"/>
      <c r="W24" s="132" t="str">
        <f t="shared" si="0"/>
        <v>CH2O</v>
      </c>
    </row>
    <row r="25" spans="1:24">
      <c r="A25" s="40">
        <v>17</v>
      </c>
      <c r="B25" s="126" t="s">
        <v>185</v>
      </c>
      <c r="C25" s="127">
        <v>2.0606</v>
      </c>
      <c r="D25" s="128">
        <v>1.6839999999999999</v>
      </c>
      <c r="E25" s="133">
        <v>27.9</v>
      </c>
      <c r="F25" s="133">
        <v>27.9</v>
      </c>
      <c r="G25" s="133">
        <v>27.9</v>
      </c>
      <c r="H25" s="133"/>
      <c r="I25" s="133"/>
      <c r="J25" s="133"/>
      <c r="K25" s="133">
        <v>669.2</v>
      </c>
      <c r="L25" s="133">
        <v>-401.6</v>
      </c>
      <c r="M25" s="133">
        <v>740.4</v>
      </c>
      <c r="N25" s="133"/>
      <c r="O25" s="133">
        <v>550.6</v>
      </c>
      <c r="P25" s="133"/>
      <c r="Q25" s="133">
        <v>437.7</v>
      </c>
      <c r="R25" s="133">
        <v>-132.9</v>
      </c>
      <c r="S25" s="133">
        <v>-197.7</v>
      </c>
      <c r="T25" s="133">
        <v>0</v>
      </c>
      <c r="U25" s="133"/>
      <c r="V25" s="128"/>
      <c r="W25" s="132" t="str">
        <f t="shared" si="0"/>
        <v>CHCL2</v>
      </c>
    </row>
    <row r="26" spans="1:24">
      <c r="A26" s="40">
        <v>18</v>
      </c>
      <c r="B26" s="126" t="s">
        <v>176</v>
      </c>
      <c r="C26" s="127">
        <v>2.6400999999999999</v>
      </c>
      <c r="D26" s="128">
        <v>2.1840000000000002</v>
      </c>
      <c r="E26" s="133">
        <v>21.23</v>
      </c>
      <c r="F26" s="133">
        <v>21.23</v>
      </c>
      <c r="G26" s="133">
        <v>21.23</v>
      </c>
      <c r="H26" s="133">
        <v>288.5</v>
      </c>
      <c r="I26" s="133">
        <v>33.61</v>
      </c>
      <c r="J26" s="133">
        <v>33.61</v>
      </c>
      <c r="K26" s="133">
        <v>418.4</v>
      </c>
      <c r="L26" s="133">
        <v>-465.7</v>
      </c>
      <c r="M26" s="133">
        <v>793.2</v>
      </c>
      <c r="N26" s="133"/>
      <c r="O26" s="133">
        <v>-825.7</v>
      </c>
      <c r="P26" s="133"/>
      <c r="Q26" s="133">
        <v>370.4</v>
      </c>
      <c r="R26" s="133">
        <v>-898.3</v>
      </c>
      <c r="S26" s="133">
        <v>-20.93</v>
      </c>
      <c r="T26" s="133"/>
      <c r="U26" s="133">
        <v>0</v>
      </c>
      <c r="V26" s="128">
        <v>-75.5</v>
      </c>
      <c r="W26" s="132" t="str">
        <f t="shared" si="0"/>
        <v>CCL3</v>
      </c>
    </row>
    <row r="27" spans="1:24">
      <c r="A27" s="40">
        <v>22</v>
      </c>
      <c r="B27" s="126" t="s">
        <v>174</v>
      </c>
      <c r="C27" s="134">
        <v>1.06</v>
      </c>
      <c r="D27" s="135">
        <v>0.81599999999999995</v>
      </c>
      <c r="E27" s="136">
        <v>175.8</v>
      </c>
      <c r="F27" s="136">
        <v>175.8</v>
      </c>
      <c r="G27" s="136">
        <v>175.8</v>
      </c>
      <c r="H27" s="136">
        <v>-218.9</v>
      </c>
      <c r="I27" s="136">
        <v>-15.41</v>
      </c>
      <c r="J27" s="136">
        <v>-15.41</v>
      </c>
      <c r="K27" s="136">
        <v>529</v>
      </c>
      <c r="L27" s="136"/>
      <c r="M27" s="136">
        <v>-239.8</v>
      </c>
      <c r="N27" s="136">
        <v>-860.3</v>
      </c>
      <c r="O27" s="136">
        <v>857.7</v>
      </c>
      <c r="P27" s="136"/>
      <c r="Q27" s="136">
        <v>681.4</v>
      </c>
      <c r="R27" s="136"/>
      <c r="S27" s="136"/>
      <c r="T27" s="136"/>
      <c r="U27" s="136">
        <v>-216.3</v>
      </c>
      <c r="V27" s="135">
        <v>0</v>
      </c>
      <c r="W27" s="132" t="str">
        <f t="shared" si="0"/>
        <v>ACNH2</v>
      </c>
    </row>
    <row r="29" spans="1:24">
      <c r="B29"/>
      <c r="C29"/>
      <c r="D29" s="38" t="s">
        <v>177</v>
      </c>
    </row>
    <row r="30" spans="1:24" s="42" customFormat="1">
      <c r="B30"/>
      <c r="C30"/>
      <c r="D30" s="39"/>
      <c r="E30" s="39" t="str">
        <f t="shared" ref="E30:V30" si="1">E9</f>
        <v>CH3</v>
      </c>
      <c r="F30" s="39" t="str">
        <f t="shared" si="1"/>
        <v>CH2</v>
      </c>
      <c r="G30" s="39" t="str">
        <f t="shared" si="1"/>
        <v>CH</v>
      </c>
      <c r="H30" s="39" t="str">
        <f t="shared" si="1"/>
        <v>ACH</v>
      </c>
      <c r="I30" s="39" t="str">
        <f t="shared" si="1"/>
        <v>ACCH2</v>
      </c>
      <c r="J30" s="39" t="str">
        <f t="shared" si="1"/>
        <v>ACCH3</v>
      </c>
      <c r="K30" s="39" t="str">
        <f t="shared" si="1"/>
        <v>OH</v>
      </c>
      <c r="L30" s="39" t="str">
        <f t="shared" si="1"/>
        <v>2-Propanol</v>
      </c>
      <c r="M30" s="39" t="str">
        <f t="shared" si="1"/>
        <v>H2O</v>
      </c>
      <c r="N30" s="39" t="str">
        <f t="shared" si="1"/>
        <v>ACOH</v>
      </c>
      <c r="O30" s="39" t="str">
        <f t="shared" si="1"/>
        <v>CH3CO</v>
      </c>
      <c r="P30" s="39" t="str">
        <f t="shared" si="1"/>
        <v>CHO</v>
      </c>
      <c r="Q30" s="39" t="str">
        <f t="shared" si="1"/>
        <v>COOH</v>
      </c>
      <c r="R30" s="39" t="str">
        <f t="shared" si="1"/>
        <v>CH3COO</v>
      </c>
      <c r="S30" s="39" t="str">
        <f t="shared" si="1"/>
        <v>CH2O</v>
      </c>
      <c r="T30" s="39" t="str">
        <f t="shared" si="1"/>
        <v>CHCL2</v>
      </c>
      <c r="U30" s="39" t="str">
        <f t="shared" si="1"/>
        <v>CCL3</v>
      </c>
      <c r="V30" s="39" t="str">
        <f t="shared" si="1"/>
        <v>ACNH2</v>
      </c>
      <c r="W30" s="39"/>
      <c r="X30" s="41"/>
    </row>
    <row r="31" spans="1:24">
      <c r="B31"/>
      <c r="C31"/>
      <c r="D31" s="39" t="str">
        <f t="shared" ref="D31:D48" si="2">B10</f>
        <v>CH3</v>
      </c>
      <c r="E31" s="59">
        <f t="shared" ref="E31:E46" si="3">EXP(-E10/($B$6+273.15))</f>
        <v>1</v>
      </c>
      <c r="F31" s="59">
        <f t="shared" ref="F31:V31" si="4">EXP(-F10/($B$6+273.15))</f>
        <v>1</v>
      </c>
      <c r="G31" s="59">
        <f t="shared" si="4"/>
        <v>1</v>
      </c>
      <c r="H31" s="59">
        <f t="shared" si="4"/>
        <v>1.4479423490251866</v>
      </c>
      <c r="I31" s="59">
        <f t="shared" si="4"/>
        <v>1.4521501217031245</v>
      </c>
      <c r="J31" s="59">
        <f t="shared" si="4"/>
        <v>1.4521501217031245</v>
      </c>
      <c r="K31" s="59">
        <f t="shared" si="4"/>
        <v>0.12513661907999171</v>
      </c>
      <c r="L31" s="59">
        <f t="shared" si="4"/>
        <v>0.36722764560192395</v>
      </c>
      <c r="M31" s="59">
        <f t="shared" si="4"/>
        <v>1.5123276497361903E-2</v>
      </c>
      <c r="N31" s="59">
        <f t="shared" si="4"/>
        <v>6.9564194307687635E-4</v>
      </c>
      <c r="O31" s="59">
        <f t="shared" si="4"/>
        <v>0.21788697439923668</v>
      </c>
      <c r="P31" s="59">
        <f t="shared" si="4"/>
        <v>0.60064371222399959</v>
      </c>
      <c r="Q31" s="59">
        <f t="shared" si="4"/>
        <v>0.63797260288920421</v>
      </c>
      <c r="R31" s="59">
        <f t="shared" si="4"/>
        <v>4.3488570016972379E-2</v>
      </c>
      <c r="S31" s="59">
        <f t="shared" si="4"/>
        <v>0.11827137620056094</v>
      </c>
      <c r="T31" s="59">
        <f t="shared" si="4"/>
        <v>2.1954645856796855</v>
      </c>
      <c r="U31" s="59">
        <f t="shared" si="4"/>
        <v>0.97610819079017197</v>
      </c>
      <c r="V31" s="59">
        <f t="shared" si="4"/>
        <v>5.4534865870911976E-2</v>
      </c>
    </row>
    <row r="32" spans="1:24">
      <c r="B32"/>
      <c r="C32"/>
      <c r="D32" s="39" t="str">
        <f t="shared" si="2"/>
        <v>CH2</v>
      </c>
      <c r="E32" s="59">
        <f t="shared" si="3"/>
        <v>1</v>
      </c>
      <c r="F32" s="59">
        <f t="shared" ref="F32:V32" si="5">EXP(-F11/($B$6+273.15))</f>
        <v>1</v>
      </c>
      <c r="G32" s="59">
        <f t="shared" si="5"/>
        <v>1</v>
      </c>
      <c r="H32" s="59">
        <f t="shared" si="5"/>
        <v>1.4479423490251866</v>
      </c>
      <c r="I32" s="59">
        <f t="shared" si="5"/>
        <v>1.4521501217031245</v>
      </c>
      <c r="J32" s="59">
        <f t="shared" si="5"/>
        <v>1.4521501217031245</v>
      </c>
      <c r="K32" s="59">
        <f t="shared" si="5"/>
        <v>0.12513661907999171</v>
      </c>
      <c r="L32" s="59">
        <f t="shared" si="5"/>
        <v>0.36722764560192395</v>
      </c>
      <c r="M32" s="59">
        <f t="shared" si="5"/>
        <v>1.5123276497361903E-2</v>
      </c>
      <c r="N32" s="59">
        <f t="shared" si="5"/>
        <v>6.9564194307687635E-4</v>
      </c>
      <c r="O32" s="59">
        <f t="shared" si="5"/>
        <v>0.21788697439923668</v>
      </c>
      <c r="P32" s="59">
        <f t="shared" si="5"/>
        <v>0.60064371222399959</v>
      </c>
      <c r="Q32" s="59">
        <f t="shared" si="5"/>
        <v>0.63797260288920421</v>
      </c>
      <c r="R32" s="59">
        <f t="shared" si="5"/>
        <v>4.3488570016972379E-2</v>
      </c>
      <c r="S32" s="59">
        <f t="shared" si="5"/>
        <v>0.11827137620056094</v>
      </c>
      <c r="T32" s="59">
        <f t="shared" si="5"/>
        <v>2.1954645856796855</v>
      </c>
      <c r="U32" s="59">
        <f t="shared" si="5"/>
        <v>0.97610819079017197</v>
      </c>
      <c r="V32" s="59">
        <f t="shared" si="5"/>
        <v>5.4534865870911976E-2</v>
      </c>
    </row>
    <row r="33" spans="2:24">
      <c r="B33"/>
      <c r="C33"/>
      <c r="D33" s="39" t="str">
        <f t="shared" si="2"/>
        <v>CH</v>
      </c>
      <c r="E33" s="59">
        <f t="shared" si="3"/>
        <v>1</v>
      </c>
      <c r="F33" s="59">
        <f t="shared" ref="F33:V33" si="6">EXP(-F12/($B$6+273.15))</f>
        <v>1</v>
      </c>
      <c r="G33" s="59">
        <f t="shared" si="6"/>
        <v>1</v>
      </c>
      <c r="H33" s="59">
        <f t="shared" si="6"/>
        <v>1.4479423490251866</v>
      </c>
      <c r="I33" s="59">
        <f t="shared" si="6"/>
        <v>1.4521501217031245</v>
      </c>
      <c r="J33" s="59">
        <f t="shared" si="6"/>
        <v>1.4521501217031245</v>
      </c>
      <c r="K33" s="59">
        <f t="shared" si="6"/>
        <v>0.12513661907999171</v>
      </c>
      <c r="L33" s="59">
        <f t="shared" si="6"/>
        <v>0.36722764560192395</v>
      </c>
      <c r="M33" s="59">
        <f t="shared" si="6"/>
        <v>1.5123276497361903E-2</v>
      </c>
      <c r="N33" s="59">
        <f t="shared" si="6"/>
        <v>6.9564194307687635E-4</v>
      </c>
      <c r="O33" s="59">
        <f t="shared" si="6"/>
        <v>0.21788697439923668</v>
      </c>
      <c r="P33" s="59">
        <f t="shared" si="6"/>
        <v>0.60064371222399959</v>
      </c>
      <c r="Q33" s="59">
        <f t="shared" si="6"/>
        <v>0.63797260288920421</v>
      </c>
      <c r="R33" s="59">
        <f t="shared" si="6"/>
        <v>4.3488570016972379E-2</v>
      </c>
      <c r="S33" s="59">
        <f t="shared" si="6"/>
        <v>0.11827137620056094</v>
      </c>
      <c r="T33" s="59">
        <f t="shared" si="6"/>
        <v>2.1954645856796855</v>
      </c>
      <c r="U33" s="59">
        <f t="shared" si="6"/>
        <v>0.97610819079017197</v>
      </c>
      <c r="V33" s="59">
        <f t="shared" si="6"/>
        <v>5.4534865870911976E-2</v>
      </c>
    </row>
    <row r="34" spans="2:24">
      <c r="B34"/>
      <c r="C34"/>
      <c r="D34" s="39" t="str">
        <f t="shared" si="2"/>
        <v>ACH</v>
      </c>
      <c r="E34" s="59">
        <f t="shared" si="3"/>
        <v>0.60375031575629512</v>
      </c>
      <c r="F34" s="59">
        <f t="shared" ref="F34:V34" si="7">EXP(-F13/($B$6+273.15))</f>
        <v>0.60375031575629512</v>
      </c>
      <c r="G34" s="59">
        <f t="shared" si="7"/>
        <v>0.60375031575629512</v>
      </c>
      <c r="H34" s="59">
        <f t="shared" si="7"/>
        <v>1</v>
      </c>
      <c r="I34" s="59">
        <f t="shared" si="7"/>
        <v>0.58365271594534529</v>
      </c>
      <c r="J34" s="59">
        <f t="shared" si="7"/>
        <v>0.58365271594534529</v>
      </c>
      <c r="K34" s="59">
        <f t="shared" si="7"/>
        <v>0.1033589917857457</v>
      </c>
      <c r="L34" s="59">
        <f t="shared" si="7"/>
        <v>0.15546146249280504</v>
      </c>
      <c r="M34" s="59">
        <f t="shared" si="7"/>
        <v>6.2604551360382676E-2</v>
      </c>
      <c r="N34" s="59">
        <f t="shared" si="7"/>
        <v>4.9085229751295928E-3</v>
      </c>
      <c r="O34" s="59">
        <f t="shared" si="7"/>
        <v>0.14745458520055721</v>
      </c>
      <c r="P34" s="59">
        <f t="shared" si="7"/>
        <v>0.3109433784513686</v>
      </c>
      <c r="Q34" s="59">
        <f t="shared" si="7"/>
        <v>0.22560785170398232</v>
      </c>
      <c r="R34" s="59">
        <f t="shared" si="7"/>
        <v>0.980840444912086</v>
      </c>
      <c r="S34" s="59">
        <f t="shared" si="7"/>
        <v>0.90156126731395136</v>
      </c>
      <c r="T34" s="59">
        <f t="shared" si="7"/>
        <v>1</v>
      </c>
      <c r="U34" s="59">
        <f t="shared" si="7"/>
        <v>2.1121422662477922</v>
      </c>
      <c r="V34" s="59">
        <f t="shared" si="7"/>
        <v>0.994726191629978</v>
      </c>
    </row>
    <row r="35" spans="2:24">
      <c r="B35"/>
      <c r="C35"/>
      <c r="D35" s="39" t="str">
        <f t="shared" si="2"/>
        <v>ACCH2</v>
      </c>
      <c r="E35" s="59">
        <f t="shared" si="3"/>
        <v>0.7141863779913058</v>
      </c>
      <c r="F35" s="59">
        <f t="shared" ref="F35:V35" si="8">EXP(-F14/($B$6+273.15))</f>
        <v>0.7141863779913058</v>
      </c>
      <c r="G35" s="59">
        <f t="shared" si="8"/>
        <v>0.7141863779913058</v>
      </c>
      <c r="H35" s="59">
        <f t="shared" si="8"/>
        <v>1.6053139767593951</v>
      </c>
      <c r="I35" s="59">
        <f t="shared" si="8"/>
        <v>1</v>
      </c>
      <c r="J35" s="59">
        <f t="shared" si="8"/>
        <v>1</v>
      </c>
      <c r="K35" s="59">
        <f t="shared" si="8"/>
        <v>2.5055924868963487E-6</v>
      </c>
      <c r="L35" s="59">
        <f t="shared" si="8"/>
        <v>5.3731998793345767E-2</v>
      </c>
      <c r="M35" s="59">
        <f t="shared" si="8"/>
        <v>1.060348768424003E-8</v>
      </c>
      <c r="N35" s="59">
        <f t="shared" si="8"/>
        <v>0.38929632015902288</v>
      </c>
      <c r="O35" s="59">
        <f t="shared" si="8"/>
        <v>5.2043955836088181E-2</v>
      </c>
      <c r="P35" s="59">
        <f t="shared" si="8"/>
        <v>1.9700090824121733E-2</v>
      </c>
      <c r="Q35" s="59">
        <f t="shared" si="8"/>
        <v>0.3350947567029447</v>
      </c>
      <c r="R35" s="59">
        <f t="shared" si="8"/>
        <v>1.0845526579436189E-8</v>
      </c>
      <c r="S35" s="59">
        <f t="shared" si="8"/>
        <v>0.50303934390683125</v>
      </c>
      <c r="T35" s="59">
        <f t="shared" si="8"/>
        <v>1</v>
      </c>
      <c r="U35" s="59">
        <f t="shared" si="8"/>
        <v>1.0399185060082723</v>
      </c>
      <c r="V35" s="59">
        <f t="shared" si="8"/>
        <v>0.1082361060584265</v>
      </c>
    </row>
    <row r="36" spans="2:24">
      <c r="B36"/>
      <c r="C36"/>
      <c r="D36" s="39" t="str">
        <f t="shared" si="2"/>
        <v>ACCH3</v>
      </c>
      <c r="E36" s="59">
        <f t="shared" si="3"/>
        <v>0.7141863779913058</v>
      </c>
      <c r="F36" s="59">
        <f t="shared" ref="F36:V36" si="9">EXP(-F15/($B$6+273.15))</f>
        <v>0.7141863779913058</v>
      </c>
      <c r="G36" s="59">
        <f t="shared" si="9"/>
        <v>0.7141863779913058</v>
      </c>
      <c r="H36" s="59">
        <f t="shared" si="9"/>
        <v>1.6053139767593951</v>
      </c>
      <c r="I36" s="59">
        <f t="shared" si="9"/>
        <v>1</v>
      </c>
      <c r="J36" s="59">
        <f t="shared" si="9"/>
        <v>1</v>
      </c>
      <c r="K36" s="59">
        <f t="shared" si="9"/>
        <v>2.5055924868963487E-6</v>
      </c>
      <c r="L36" s="59">
        <f t="shared" si="9"/>
        <v>5.3731998793345767E-2</v>
      </c>
      <c r="M36" s="59">
        <f t="shared" si="9"/>
        <v>1.060348768424003E-8</v>
      </c>
      <c r="N36" s="59">
        <f t="shared" si="9"/>
        <v>0.38929632015902288</v>
      </c>
      <c r="O36" s="59">
        <f t="shared" si="9"/>
        <v>5.2043955836088181E-2</v>
      </c>
      <c r="P36" s="59">
        <f t="shared" si="9"/>
        <v>1.9700090824121733E-2</v>
      </c>
      <c r="Q36" s="59">
        <f t="shared" si="9"/>
        <v>0.3350947567029447</v>
      </c>
      <c r="R36" s="59">
        <f t="shared" si="9"/>
        <v>1.0845526579436189E-8</v>
      </c>
      <c r="S36" s="59">
        <f t="shared" si="9"/>
        <v>0.50303934390683125</v>
      </c>
      <c r="T36" s="59">
        <f t="shared" si="9"/>
        <v>1</v>
      </c>
      <c r="U36" s="59">
        <f t="shared" si="9"/>
        <v>1.0399185060082723</v>
      </c>
      <c r="V36" s="59">
        <f t="shared" si="9"/>
        <v>0.1082361060584265</v>
      </c>
    </row>
    <row r="37" spans="2:24">
      <c r="B37"/>
      <c r="C37"/>
      <c r="D37" s="39" t="str">
        <f t="shared" si="2"/>
        <v>OH</v>
      </c>
      <c r="E37" s="59">
        <f t="shared" si="3"/>
        <v>0.34708080930704882</v>
      </c>
      <c r="F37" s="59">
        <f t="shared" ref="F37:V37" si="10">EXP(-F16/($B$6+273.15))</f>
        <v>0.34708080930704882</v>
      </c>
      <c r="G37" s="59">
        <f t="shared" si="10"/>
        <v>0.34708080930704882</v>
      </c>
      <c r="H37" s="59">
        <f t="shared" si="10"/>
        <v>1.0301406112713998</v>
      </c>
      <c r="I37" s="59">
        <f t="shared" si="10"/>
        <v>0.99591357939061897</v>
      </c>
      <c r="J37" s="59">
        <f t="shared" si="10"/>
        <v>0.99591357939061897</v>
      </c>
      <c r="K37" s="59">
        <f t="shared" si="10"/>
        <v>1</v>
      </c>
      <c r="L37" s="59">
        <f t="shared" si="10"/>
        <v>4.0917583686868035E-2</v>
      </c>
      <c r="M37" s="59">
        <f t="shared" si="10"/>
        <v>0.91152833690909107</v>
      </c>
      <c r="N37" s="59">
        <f t="shared" si="10"/>
        <v>1.8782493721404556</v>
      </c>
      <c r="O37" s="59">
        <f t="shared" si="10"/>
        <v>0.80553373089767644</v>
      </c>
      <c r="P37" s="59">
        <f t="shared" si="10"/>
        <v>1.0641827179882999E-2</v>
      </c>
      <c r="Q37" s="59">
        <f t="shared" si="10"/>
        <v>1.3983900611206104</v>
      </c>
      <c r="R37" s="59">
        <f t="shared" si="10"/>
        <v>0.53223903181756971</v>
      </c>
      <c r="S37" s="59">
        <f t="shared" si="10"/>
        <v>0.42897155729651054</v>
      </c>
      <c r="T37" s="59">
        <f t="shared" si="10"/>
        <v>0.41576301701383256</v>
      </c>
      <c r="U37" s="59">
        <f t="shared" si="10"/>
        <v>1.2195925733356416</v>
      </c>
      <c r="V37" s="59">
        <f t="shared" si="10"/>
        <v>3.0730869357857853</v>
      </c>
    </row>
    <row r="38" spans="2:24">
      <c r="B38"/>
      <c r="C38"/>
      <c r="D38" s="39" t="str">
        <f t="shared" si="2"/>
        <v>2-Propanol</v>
      </c>
      <c r="E38" s="59">
        <f t="shared" si="3"/>
        <v>1.5300158445200371</v>
      </c>
      <c r="F38" s="59">
        <f t="shared" ref="F38:V38" si="11">EXP(-F17/($B$6+273.15))</f>
        <v>1.5300158445200371</v>
      </c>
      <c r="G38" s="59">
        <f t="shared" si="11"/>
        <v>1.5300158445200371</v>
      </c>
      <c r="H38" s="59">
        <f t="shared" si="11"/>
        <v>2.2535574934253266</v>
      </c>
      <c r="I38" s="59">
        <f t="shared" si="11"/>
        <v>2.4160978897926726</v>
      </c>
      <c r="J38" s="59">
        <f t="shared" si="11"/>
        <v>2.4160978897926726</v>
      </c>
      <c r="K38" s="59">
        <f t="shared" si="11"/>
        <v>2.3789932979706245</v>
      </c>
      <c r="L38" s="59">
        <f t="shared" si="11"/>
        <v>1</v>
      </c>
      <c r="M38" s="59">
        <f t="shared" si="11"/>
        <v>0.98118837844151774</v>
      </c>
      <c r="N38" s="59">
        <f t="shared" si="11"/>
        <v>1.6387840569070882</v>
      </c>
      <c r="O38" s="59">
        <f t="shared" si="11"/>
        <v>0.31958296982624407</v>
      </c>
      <c r="P38" s="59">
        <f t="shared" si="11"/>
        <v>2.9794234485482396</v>
      </c>
      <c r="Q38" s="59">
        <f t="shared" si="11"/>
        <v>1.2055571224212893</v>
      </c>
      <c r="R38" s="59">
        <f t="shared" si="11"/>
        <v>0.20793486683793544</v>
      </c>
      <c r="S38" s="59">
        <f t="shared" si="11"/>
        <v>1.7436663674443766E-3</v>
      </c>
      <c r="T38" s="59">
        <f t="shared" si="11"/>
        <v>0.19450988635965927</v>
      </c>
      <c r="U38" s="59">
        <f t="shared" si="11"/>
        <v>6.8861967827228664E-3</v>
      </c>
      <c r="V38" s="59">
        <f t="shared" si="11"/>
        <v>1</v>
      </c>
    </row>
    <row r="39" spans="2:24">
      <c r="B39"/>
      <c r="C39"/>
      <c r="D39" s="39" t="str">
        <f t="shared" si="2"/>
        <v>H2O</v>
      </c>
      <c r="E39" s="59">
        <f t="shared" si="3"/>
        <v>0.33154824509283004</v>
      </c>
      <c r="F39" s="59">
        <f t="shared" ref="F39:V39" si="12">EXP(-F18/($B$6+273.15))</f>
        <v>0.33154824509283004</v>
      </c>
      <c r="G39" s="59">
        <f t="shared" si="12"/>
        <v>0.33154824509283004</v>
      </c>
      <c r="H39" s="59">
        <f t="shared" si="12"/>
        <v>0.30059271623075817</v>
      </c>
      <c r="I39" s="59">
        <f t="shared" si="12"/>
        <v>0.51851880809831086</v>
      </c>
      <c r="J39" s="59">
        <f t="shared" si="12"/>
        <v>0.51851880809831086</v>
      </c>
      <c r="K39" s="59">
        <f t="shared" si="12"/>
        <v>1.4838614102848047</v>
      </c>
      <c r="L39" s="59">
        <f t="shared" si="12"/>
        <v>0.71303594915200408</v>
      </c>
      <c r="M39" s="59">
        <f t="shared" si="12"/>
        <v>1</v>
      </c>
      <c r="N39" s="59">
        <f t="shared" si="12"/>
        <v>0.32931094218893153</v>
      </c>
      <c r="O39" s="59">
        <f t="shared" si="12"/>
        <v>1.7400703090493814</v>
      </c>
      <c r="P39" s="59">
        <f t="shared" si="12"/>
        <v>3.0899774455667761</v>
      </c>
      <c r="Q39" s="59">
        <f t="shared" si="12"/>
        <v>4.4885581120578797</v>
      </c>
      <c r="R39" s="59">
        <f t="shared" si="12"/>
        <v>1.0205862701372792</v>
      </c>
      <c r="S39" s="59">
        <f t="shared" si="12"/>
        <v>0.81244590233659419</v>
      </c>
      <c r="T39" s="59">
        <f t="shared" si="12"/>
        <v>0.30263491061532249</v>
      </c>
      <c r="U39" s="59">
        <f t="shared" si="12"/>
        <v>0.31650662947543057</v>
      </c>
      <c r="V39" s="59">
        <f t="shared" si="12"/>
        <v>1.4247868837881006</v>
      </c>
    </row>
    <row r="40" spans="2:24">
      <c r="B40"/>
      <c r="C40"/>
      <c r="D40" s="39" t="str">
        <f t="shared" si="2"/>
        <v>ACOH</v>
      </c>
      <c r="E40" s="59">
        <f t="shared" si="3"/>
        <v>1.6740311230519083</v>
      </c>
      <c r="F40" s="59">
        <f t="shared" ref="F40:V40" si="13">EXP(-F19/($B$6+273.15))</f>
        <v>1.6740311230519083</v>
      </c>
      <c r="G40" s="59">
        <f t="shared" si="13"/>
        <v>1.6740311230519083</v>
      </c>
      <c r="H40" s="59">
        <f t="shared" si="13"/>
        <v>4.5984227510931284</v>
      </c>
      <c r="I40" s="59">
        <f t="shared" si="13"/>
        <v>4.5570955270614562</v>
      </c>
      <c r="J40" s="59">
        <f t="shared" si="13"/>
        <v>4.5570955270614562</v>
      </c>
      <c r="K40" s="59">
        <f t="shared" si="13"/>
        <v>1.2258214073409341</v>
      </c>
      <c r="L40" s="59">
        <f t="shared" si="13"/>
        <v>5.837529013060605</v>
      </c>
      <c r="M40" s="59">
        <f t="shared" si="13"/>
        <v>6.8300253796868988</v>
      </c>
      <c r="N40" s="59">
        <f t="shared" si="13"/>
        <v>1</v>
      </c>
      <c r="O40" s="59">
        <f t="shared" si="13"/>
        <v>14.328638067565668</v>
      </c>
      <c r="P40" s="59">
        <f t="shared" si="13"/>
        <v>1</v>
      </c>
      <c r="Q40" s="59">
        <f t="shared" si="13"/>
        <v>1</v>
      </c>
      <c r="R40" s="59">
        <f t="shared" si="13"/>
        <v>18.107758275005878</v>
      </c>
      <c r="S40" s="59">
        <f t="shared" si="13"/>
        <v>1</v>
      </c>
      <c r="T40" s="59">
        <f t="shared" si="13"/>
        <v>1</v>
      </c>
      <c r="U40" s="59">
        <f t="shared" si="13"/>
        <v>1</v>
      </c>
      <c r="V40" s="59">
        <f t="shared" si="13"/>
        <v>15.576574899255743</v>
      </c>
    </row>
    <row r="41" spans="2:24">
      <c r="B41"/>
      <c r="C41"/>
      <c r="D41" s="39" t="str">
        <f t="shared" si="2"/>
        <v>CH3CO</v>
      </c>
      <c r="E41" s="59">
        <f t="shared" si="3"/>
        <v>0.80685941253213911</v>
      </c>
      <c r="F41" s="59">
        <f t="shared" ref="F41:V41" si="14">EXP(-F20/($B$6+273.15))</f>
        <v>0.80685941253213911</v>
      </c>
      <c r="G41" s="59">
        <f t="shared" si="14"/>
        <v>0.80685941253213911</v>
      </c>
      <c r="H41" s="59">
        <f t="shared" si="14"/>
        <v>1.2872275638755795</v>
      </c>
      <c r="I41" s="59">
        <f t="shared" si="14"/>
        <v>1.2689313335313903</v>
      </c>
      <c r="J41" s="59">
        <f t="shared" si="14"/>
        <v>1.2689313335313903</v>
      </c>
      <c r="K41" s="59">
        <f t="shared" si="14"/>
        <v>0.49835768948320724</v>
      </c>
      <c r="L41" s="59">
        <f t="shared" si="14"/>
        <v>1.5089496790557111</v>
      </c>
      <c r="M41" s="59">
        <f t="shared" si="14"/>
        <v>0.12915376963616196</v>
      </c>
      <c r="N41" s="59">
        <f t="shared" si="14"/>
        <v>6.2424449017074233</v>
      </c>
      <c r="O41" s="59">
        <f t="shared" si="14"/>
        <v>1</v>
      </c>
      <c r="P41" s="59">
        <f t="shared" si="14"/>
        <v>1.1280131862880365</v>
      </c>
      <c r="Q41" s="59">
        <f t="shared" si="14"/>
        <v>1.7941565258362692E-2</v>
      </c>
      <c r="R41" s="59">
        <f t="shared" si="14"/>
        <v>0.43425970458149477</v>
      </c>
      <c r="S41" s="59">
        <f t="shared" si="14"/>
        <v>0.98336734633511391</v>
      </c>
      <c r="T41" s="59">
        <f t="shared" si="14"/>
        <v>2.6392588683453977</v>
      </c>
      <c r="U41" s="59">
        <f t="shared" si="14"/>
        <v>0.96201696007873572</v>
      </c>
      <c r="V41" s="59">
        <f t="shared" si="14"/>
        <v>3.8523424438000213E-2</v>
      </c>
    </row>
    <row r="42" spans="2:24">
      <c r="B42"/>
      <c r="C42"/>
      <c r="D42" s="39" t="str">
        <f t="shared" si="2"/>
        <v>CHO</v>
      </c>
      <c r="E42" s="59">
        <f t="shared" si="3"/>
        <v>0.62433862522983363</v>
      </c>
      <c r="F42" s="59">
        <f t="shared" ref="F42:V42" si="15">EXP(-F21/($B$6+273.15))</f>
        <v>0.62433862522983363</v>
      </c>
      <c r="G42" s="59">
        <f t="shared" si="15"/>
        <v>0.62433862522983363</v>
      </c>
      <c r="H42" s="59">
        <f t="shared" si="15"/>
        <v>1.2747954684384624</v>
      </c>
      <c r="I42" s="59">
        <f t="shared" si="15"/>
        <v>0.48692178166527705</v>
      </c>
      <c r="J42" s="59">
        <f t="shared" si="15"/>
        <v>0.48692178166527705</v>
      </c>
      <c r="K42" s="59">
        <f t="shared" si="15"/>
        <v>4.0173297602090363</v>
      </c>
      <c r="L42" s="59">
        <f t="shared" si="15"/>
        <v>0.47421683630937672</v>
      </c>
      <c r="M42" s="59">
        <f t="shared" si="15"/>
        <v>0.13385978097569143</v>
      </c>
      <c r="N42" s="59">
        <f t="shared" si="15"/>
        <v>1</v>
      </c>
      <c r="O42" s="59">
        <f t="shared" si="15"/>
        <v>0.6618584745620909</v>
      </c>
      <c r="P42" s="59">
        <f t="shared" si="15"/>
        <v>1</v>
      </c>
      <c r="Q42" s="59">
        <f t="shared" si="15"/>
        <v>0.99758473670408021</v>
      </c>
      <c r="R42" s="59">
        <f t="shared" si="15"/>
        <v>2.2089554318220141</v>
      </c>
      <c r="S42" s="59">
        <f t="shared" si="15"/>
        <v>1</v>
      </c>
      <c r="T42" s="59">
        <f t="shared" si="15"/>
        <v>1</v>
      </c>
      <c r="U42" s="59">
        <f t="shared" si="15"/>
        <v>1</v>
      </c>
      <c r="V42" s="59">
        <f t="shared" si="15"/>
        <v>1</v>
      </c>
    </row>
    <row r="43" spans="2:24">
      <c r="B43"/>
      <c r="C43"/>
      <c r="D43" s="39" t="str">
        <f t="shared" si="2"/>
        <v>COOH</v>
      </c>
      <c r="E43" s="59">
        <f t="shared" si="3"/>
        <v>3.6134741400838028E-3</v>
      </c>
      <c r="F43" s="59">
        <f t="shared" ref="F43:V43" si="16">EXP(-F22/($B$6+273.15))</f>
        <v>3.6134741400838028E-3</v>
      </c>
      <c r="G43" s="59">
        <f t="shared" si="16"/>
        <v>3.6134741400838028E-3</v>
      </c>
      <c r="H43" s="59">
        <f t="shared" si="16"/>
        <v>0.78395915701383712</v>
      </c>
      <c r="I43" s="59">
        <f t="shared" si="16"/>
        <v>0.62192766652523801</v>
      </c>
      <c r="J43" s="59">
        <f t="shared" si="16"/>
        <v>0.62192766652523801</v>
      </c>
      <c r="K43" s="59">
        <f t="shared" si="16"/>
        <v>0.68266517554157558</v>
      </c>
      <c r="L43" s="59">
        <f t="shared" si="16"/>
        <v>0.32446279762043406</v>
      </c>
      <c r="M43" s="59">
        <f t="shared" si="16"/>
        <v>0.12206813791728427</v>
      </c>
      <c r="N43" s="59">
        <f t="shared" si="16"/>
        <v>1</v>
      </c>
      <c r="O43" s="59">
        <f t="shared" si="16"/>
        <v>1.386269260402524</v>
      </c>
      <c r="P43" s="59">
        <f t="shared" si="16"/>
        <v>3.3753104005030433E-2</v>
      </c>
      <c r="Q43" s="59">
        <f t="shared" si="16"/>
        <v>1</v>
      </c>
      <c r="R43" s="59">
        <f t="shared" si="16"/>
        <v>1.4610733965285281</v>
      </c>
      <c r="S43" s="59">
        <f t="shared" si="16"/>
        <v>1.3655082185688381</v>
      </c>
      <c r="T43" s="59">
        <f t="shared" si="16"/>
        <v>4.5871728791505844E-3</v>
      </c>
      <c r="U43" s="59">
        <f t="shared" si="16"/>
        <v>0.85620327442781241</v>
      </c>
      <c r="V43" s="59">
        <f t="shared" si="16"/>
        <v>4.7936172410832034E-2</v>
      </c>
    </row>
    <row r="44" spans="2:24">
      <c r="B44"/>
      <c r="C44" s="43"/>
      <c r="D44" s="39" t="str">
        <f t="shared" si="2"/>
        <v>CH3COO</v>
      </c>
      <c r="E44" s="59">
        <f t="shared" si="3"/>
        <v>2.80690162655715</v>
      </c>
      <c r="F44" s="59">
        <f t="shared" ref="F44:V44" si="17">EXP(-F23/($B$6+273.15))</f>
        <v>2.80690162655715</v>
      </c>
      <c r="G44" s="59">
        <f t="shared" si="17"/>
        <v>2.80690162655715</v>
      </c>
      <c r="H44" s="59">
        <f t="shared" si="17"/>
        <v>0.69063523190218212</v>
      </c>
      <c r="I44" s="59">
        <f t="shared" si="17"/>
        <v>1.7300008096430921</v>
      </c>
      <c r="J44" s="59">
        <f t="shared" si="17"/>
        <v>1.7300008096430921</v>
      </c>
      <c r="K44" s="59">
        <f t="shared" si="17"/>
        <v>0.55861270149961662</v>
      </c>
      <c r="L44" s="59">
        <f t="shared" si="17"/>
        <v>1.6366718818403554</v>
      </c>
      <c r="M44" s="59">
        <f t="shared" si="17"/>
        <v>0.28816078894676295</v>
      </c>
      <c r="N44" s="59">
        <f t="shared" si="17"/>
        <v>2.9669612708639672</v>
      </c>
      <c r="O44" s="59">
        <f t="shared" si="17"/>
        <v>0.82719513692898039</v>
      </c>
      <c r="P44" s="59">
        <f t="shared" si="17"/>
        <v>2.976480861283224E-2</v>
      </c>
      <c r="Q44" s="59">
        <f t="shared" si="17"/>
        <v>1.0370842116579203E-2</v>
      </c>
      <c r="R44" s="59">
        <f t="shared" si="17"/>
        <v>1</v>
      </c>
      <c r="S44" s="59">
        <f t="shared" si="17"/>
        <v>2.1381797020655662</v>
      </c>
      <c r="T44" s="59">
        <f t="shared" si="17"/>
        <v>0.70389898129380524</v>
      </c>
      <c r="U44" s="59">
        <f t="shared" si="17"/>
        <v>1.9662426865822775</v>
      </c>
      <c r="V44" s="59">
        <f t="shared" si="17"/>
        <v>1</v>
      </c>
    </row>
    <row r="45" spans="2:24">
      <c r="D45" s="39" t="str">
        <f t="shared" si="2"/>
        <v>CH2O</v>
      </c>
      <c r="E45" s="59">
        <f t="shared" si="3"/>
        <v>6.3120738963235393E-3</v>
      </c>
      <c r="F45" s="59">
        <f t="shared" ref="F45:V45" si="18">EXP(-F24/($B$6+273.15))</f>
        <v>6.3120738963235393E-3</v>
      </c>
      <c r="G45" s="59">
        <f t="shared" si="18"/>
        <v>6.3120738963235393E-3</v>
      </c>
      <c r="H45" s="59">
        <f t="shared" si="18"/>
        <v>0.84528624178787626</v>
      </c>
      <c r="I45" s="59">
        <f t="shared" si="18"/>
        <v>0.80912590665727879</v>
      </c>
      <c r="J45" s="59">
        <f t="shared" si="18"/>
        <v>0.80912590665727879</v>
      </c>
      <c r="K45" s="59">
        <f t="shared" si="18"/>
        <v>0.64272124443336187</v>
      </c>
      <c r="L45" s="59">
        <f t="shared" si="18"/>
        <v>2.0202234520072389</v>
      </c>
      <c r="M45" s="59">
        <f t="shared" si="18"/>
        <v>0.5035261561371539</v>
      </c>
      <c r="N45" s="59">
        <f t="shared" si="18"/>
        <v>1</v>
      </c>
      <c r="O45" s="59">
        <f t="shared" si="18"/>
        <v>0.84460516355402027</v>
      </c>
      <c r="P45" s="59">
        <f t="shared" si="18"/>
        <v>1</v>
      </c>
      <c r="Q45" s="59">
        <f t="shared" si="18"/>
        <v>1.0884741225731851E-2</v>
      </c>
      <c r="R45" s="59">
        <f t="shared" si="18"/>
        <v>0.22597185267655864</v>
      </c>
      <c r="S45" s="59">
        <f t="shared" si="18"/>
        <v>1</v>
      </c>
      <c r="T45" s="59">
        <f t="shared" si="18"/>
        <v>0.64127227605868575</v>
      </c>
      <c r="U45" s="59">
        <f t="shared" si="18"/>
        <v>1.6446066039665881</v>
      </c>
      <c r="V45" s="59">
        <f t="shared" si="18"/>
        <v>1</v>
      </c>
    </row>
    <row r="46" spans="2:24">
      <c r="B46" s="38"/>
      <c r="D46" s="39" t="str">
        <f t="shared" si="2"/>
        <v>CHCL2</v>
      </c>
      <c r="E46" s="59">
        <f t="shared" si="3"/>
        <v>0.91397096711719517</v>
      </c>
      <c r="F46" s="59">
        <f t="shared" ref="F46:V46" si="19">EXP(-F25/($B$6+273.15))</f>
        <v>0.91397096711719517</v>
      </c>
      <c r="G46" s="59">
        <f t="shared" si="19"/>
        <v>0.91397096711719517</v>
      </c>
      <c r="H46" s="59">
        <f t="shared" si="19"/>
        <v>1</v>
      </c>
      <c r="I46" s="59">
        <f t="shared" si="19"/>
        <v>1</v>
      </c>
      <c r="J46" s="59">
        <f t="shared" si="19"/>
        <v>1</v>
      </c>
      <c r="K46" s="59">
        <f t="shared" si="19"/>
        <v>0.11559464519546027</v>
      </c>
      <c r="L46" s="59">
        <f t="shared" si="19"/>
        <v>3.6504751131142479</v>
      </c>
      <c r="M46" s="59">
        <f t="shared" si="19"/>
        <v>9.1883667613863629E-2</v>
      </c>
      <c r="N46" s="59">
        <f t="shared" si="19"/>
        <v>1</v>
      </c>
      <c r="O46" s="59">
        <f t="shared" si="19"/>
        <v>0.16943768995528682</v>
      </c>
      <c r="P46" s="59">
        <f t="shared" si="19"/>
        <v>1</v>
      </c>
      <c r="Q46" s="59">
        <f t="shared" si="19"/>
        <v>0.24383765592460702</v>
      </c>
      <c r="R46" s="59">
        <f t="shared" si="19"/>
        <v>1.5349569538916097</v>
      </c>
      <c r="S46" s="59">
        <f t="shared" si="19"/>
        <v>1.8916198016217749</v>
      </c>
      <c r="T46" s="59">
        <f t="shared" si="19"/>
        <v>1</v>
      </c>
      <c r="U46" s="59">
        <f t="shared" si="19"/>
        <v>1</v>
      </c>
      <c r="V46" s="59">
        <f t="shared" si="19"/>
        <v>1</v>
      </c>
      <c r="W46" s="38"/>
    </row>
    <row r="47" spans="2:24" s="42" customFormat="1">
      <c r="B47" s="39"/>
      <c r="C47" s="39"/>
      <c r="D47" s="39" t="str">
        <f t="shared" si="2"/>
        <v>CCL3</v>
      </c>
      <c r="E47" s="59">
        <f t="shared" ref="E47:T47" si="20">EXP(-E26/($B$6+273.15))</f>
        <v>0.93383945090266818</v>
      </c>
      <c r="F47" s="59">
        <f t="shared" si="20"/>
        <v>0.93383945090266818</v>
      </c>
      <c r="G47" s="59">
        <f t="shared" si="20"/>
        <v>0.93383945090266818</v>
      </c>
      <c r="H47" s="59">
        <f t="shared" si="20"/>
        <v>0.39447675350732042</v>
      </c>
      <c r="I47" s="59">
        <f t="shared" si="20"/>
        <v>0.8972983000178536</v>
      </c>
      <c r="J47" s="59">
        <f t="shared" si="20"/>
        <v>0.8972983000178536</v>
      </c>
      <c r="K47" s="59">
        <f t="shared" si="20"/>
        <v>0.25949322996472174</v>
      </c>
      <c r="L47" s="59">
        <f t="shared" si="20"/>
        <v>4.4885581120578797</v>
      </c>
      <c r="M47" s="59">
        <f t="shared" si="20"/>
        <v>7.7500399261456021E-2</v>
      </c>
      <c r="N47" s="59">
        <f t="shared" si="20"/>
        <v>1</v>
      </c>
      <c r="O47" s="59">
        <f t="shared" si="20"/>
        <v>14.328638067565668</v>
      </c>
      <c r="P47" s="59">
        <f t="shared" si="20"/>
        <v>1</v>
      </c>
      <c r="Q47" s="59">
        <f t="shared" si="20"/>
        <v>0.30292778308662055</v>
      </c>
      <c r="R47" s="59">
        <f t="shared" si="20"/>
        <v>18.107758275005878</v>
      </c>
      <c r="S47" s="59">
        <f t="shared" si="20"/>
        <v>1.06981258158797</v>
      </c>
      <c r="T47" s="59">
        <f t="shared" si="20"/>
        <v>1</v>
      </c>
      <c r="U47" s="59">
        <f>EXP(-U26/($B$6+273.15))</f>
        <v>1</v>
      </c>
      <c r="V47" s="59">
        <f>EXP(-V26/($B$6+273.15))</f>
        <v>1.2756177844676508</v>
      </c>
      <c r="W47" s="39"/>
      <c r="X47" s="41"/>
    </row>
    <row r="48" spans="2:24">
      <c r="C48" s="43"/>
      <c r="D48" s="39" t="str">
        <f t="shared" si="2"/>
        <v>ACNH2</v>
      </c>
      <c r="E48" s="59">
        <f t="shared" ref="E48:V48" si="21">EXP(-E27/($B$6+273.15))</f>
        <v>0.56732525075035889</v>
      </c>
      <c r="F48" s="59">
        <f t="shared" si="21"/>
        <v>0.56732525075035889</v>
      </c>
      <c r="G48" s="59">
        <f t="shared" si="21"/>
        <v>0.56732525075035889</v>
      </c>
      <c r="H48" s="59">
        <f t="shared" si="21"/>
        <v>2.0254411367994063</v>
      </c>
      <c r="I48" s="59">
        <f t="shared" si="21"/>
        <v>1.0509406665111305</v>
      </c>
      <c r="J48" s="59">
        <f t="shared" si="21"/>
        <v>1.0509406665111305</v>
      </c>
      <c r="K48" s="59">
        <f t="shared" si="21"/>
        <v>0.18165857598337712</v>
      </c>
      <c r="L48" s="59">
        <f t="shared" si="21"/>
        <v>1</v>
      </c>
      <c r="M48" s="59">
        <f t="shared" si="21"/>
        <v>2.1666328285392735</v>
      </c>
      <c r="N48" s="59">
        <f t="shared" si="21"/>
        <v>16.019698476649044</v>
      </c>
      <c r="O48" s="59">
        <f t="shared" si="21"/>
        <v>6.2948642760718085E-2</v>
      </c>
      <c r="P48" s="59">
        <f t="shared" si="21"/>
        <v>1</v>
      </c>
      <c r="Q48" s="59">
        <f t="shared" si="21"/>
        <v>0.11113590570221356</v>
      </c>
      <c r="R48" s="59">
        <f t="shared" si="21"/>
        <v>1</v>
      </c>
      <c r="S48" s="59">
        <f t="shared" si="21"/>
        <v>1</v>
      </c>
      <c r="T48" s="59">
        <f t="shared" si="21"/>
        <v>1</v>
      </c>
      <c r="U48" s="59">
        <f t="shared" si="21"/>
        <v>2.0085327526459746</v>
      </c>
      <c r="V48" s="59">
        <f t="shared" si="21"/>
        <v>1</v>
      </c>
    </row>
    <row r="49" spans="2:23"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2:23"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2:23"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2:23"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2:23"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2:23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2:23"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2:23"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2:23"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2:23"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2:23"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2:23"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2" spans="2:23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3:C3"/>
  <sheetViews>
    <sheetView workbookViewId="0">
      <selection activeCell="C3" sqref="C3"/>
    </sheetView>
  </sheetViews>
  <sheetFormatPr baseColWidth="10" defaultColWidth="8.83203125" defaultRowHeight="13"/>
  <cols>
    <col min="1" max="1" width="8.83203125" style="5"/>
    <col min="2" max="2" width="8.83203125" style="281"/>
    <col min="3" max="16384" width="8.83203125" style="5"/>
  </cols>
  <sheetData>
    <row r="3" spans="2:3">
      <c r="B3" s="281">
        <v>40889</v>
      </c>
      <c r="C3" s="5" t="s">
        <v>343</v>
      </c>
    </row>
  </sheetData>
  <sheetProtection sheet="1" objects="1" scenarios="1"/>
  <phoneticPr fontId="0" type="noConversion"/>
  <pageMargins left="0.75" right="0.75" top="1" bottom="1" header="0.5" footer="0.5"/>
  <pageSetup orientation="portrait" horizontalDpi="1200" verticalDpi="1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/>
  <dimension ref="A1:J26"/>
  <sheetViews>
    <sheetView workbookViewId="0">
      <selection activeCell="G1" sqref="G1"/>
    </sheetView>
  </sheetViews>
  <sheetFormatPr baseColWidth="10" defaultColWidth="8.83203125" defaultRowHeight="13"/>
  <cols>
    <col min="1" max="1" width="5.83203125" customWidth="1"/>
    <col min="2" max="2" width="8.6640625" customWidth="1"/>
    <col min="3" max="3" width="6.83203125" customWidth="1"/>
    <col min="4" max="4" width="6.6640625" customWidth="1"/>
    <col min="5" max="5" width="10.6640625" customWidth="1"/>
    <col min="6" max="6" width="11.1640625" customWidth="1"/>
  </cols>
  <sheetData>
    <row r="1" spans="1:10">
      <c r="A1" s="5" t="s">
        <v>186</v>
      </c>
      <c r="B1" s="5"/>
      <c r="C1" s="5"/>
      <c r="D1" s="5"/>
      <c r="E1" s="5"/>
      <c r="F1" s="5"/>
      <c r="G1" s="5"/>
      <c r="H1" s="5"/>
      <c r="I1" s="5"/>
    </row>
    <row r="2" spans="1:10">
      <c r="A2" s="5" t="s">
        <v>187</v>
      </c>
      <c r="B2" s="5"/>
      <c r="C2" s="5"/>
      <c r="D2" s="5"/>
      <c r="E2" s="5"/>
      <c r="F2" s="5"/>
      <c r="G2" s="5"/>
      <c r="H2" s="5"/>
      <c r="I2" s="5"/>
    </row>
    <row r="3" spans="1:10" s="44" customFormat="1" ht="15">
      <c r="A3" s="4" t="s">
        <v>28</v>
      </c>
      <c r="B3" s="45" t="s">
        <v>188</v>
      </c>
      <c r="C3" s="45" t="s">
        <v>189</v>
      </c>
      <c r="D3" s="45" t="s">
        <v>190</v>
      </c>
      <c r="E3" s="45" t="s">
        <v>191</v>
      </c>
      <c r="F3" s="45" t="s">
        <v>192</v>
      </c>
      <c r="G3" s="4"/>
      <c r="H3" s="5" t="s">
        <v>193</v>
      </c>
      <c r="I3" s="5"/>
      <c r="J3"/>
    </row>
    <row r="4" spans="1:10">
      <c r="A4" s="140">
        <v>0</v>
      </c>
      <c r="B4" s="5">
        <v>0</v>
      </c>
      <c r="C4" s="5">
        <v>23.549996117011087</v>
      </c>
      <c r="D4" s="5">
        <v>1</v>
      </c>
      <c r="E4" s="5">
        <f t="shared" ref="E4:E24" si="0">A4*C4</f>
        <v>0</v>
      </c>
      <c r="F4" s="5">
        <f t="shared" ref="F4:F24" si="1">(1-A4)*D4</f>
        <v>1</v>
      </c>
      <c r="G4" s="5"/>
      <c r="H4" s="5" t="s">
        <v>224</v>
      </c>
      <c r="I4" s="5"/>
    </row>
    <row r="5" spans="1:10">
      <c r="A5" s="140">
        <v>0.05</v>
      </c>
      <c r="B5" s="5">
        <f>A5*LN(A5*C5)+(1-A5)*LN((1-A5)*D5)</f>
        <v>-5.8526263184391143E-2</v>
      </c>
      <c r="C5" s="5">
        <v>12.205286565738749</v>
      </c>
      <c r="D5" s="5">
        <v>1.0158030640836784</v>
      </c>
      <c r="E5" s="5">
        <f t="shared" si="0"/>
        <v>0.61026432828693755</v>
      </c>
      <c r="F5" s="5">
        <f t="shared" si="1"/>
        <v>0.96501291087949437</v>
      </c>
      <c r="G5" s="5"/>
      <c r="H5" s="4"/>
      <c r="I5" s="4"/>
    </row>
    <row r="6" spans="1:10">
      <c r="A6" s="140">
        <v>0.1</v>
      </c>
      <c r="B6" s="5">
        <f t="shared" ref="B6:B21" si="2">A6*LN(A6*C6)+(1-A6)*LN((1-A6)*D6)</f>
        <v>-7.3170809828983552E-2</v>
      </c>
      <c r="C6" s="5">
        <v>7.8862555732243367</v>
      </c>
      <c r="D6" s="5">
        <v>1.0517384542819028</v>
      </c>
      <c r="E6" s="5">
        <f t="shared" si="0"/>
        <v>0.78862555732243367</v>
      </c>
      <c r="F6" s="5">
        <f t="shared" si="1"/>
        <v>0.94656460885371252</v>
      </c>
      <c r="G6" s="5"/>
      <c r="H6" s="5"/>
      <c r="I6" s="5"/>
    </row>
    <row r="7" spans="1:10">
      <c r="A7" s="140">
        <v>0.15</v>
      </c>
      <c r="B7" s="5">
        <f t="shared" si="2"/>
        <v>-7.9417118711015908E-2</v>
      </c>
      <c r="C7" s="5">
        <v>5.7531015573587903</v>
      </c>
      <c r="D7" s="5">
        <v>1.099763783752048</v>
      </c>
      <c r="E7" s="5">
        <f t="shared" si="0"/>
        <v>0.86296523360381849</v>
      </c>
      <c r="F7" s="5">
        <f t="shared" si="1"/>
        <v>0.93479921618924078</v>
      </c>
      <c r="G7" s="5"/>
      <c r="H7" s="5"/>
      <c r="I7" s="5"/>
    </row>
    <row r="8" spans="1:10">
      <c r="A8" s="140">
        <v>0.2</v>
      </c>
      <c r="B8" s="5">
        <f t="shared" si="2"/>
        <v>-8.1901861537314949E-2</v>
      </c>
      <c r="C8" s="5">
        <v>4.5204513534279052</v>
      </c>
      <c r="D8" s="5">
        <v>1.1571646445255261</v>
      </c>
      <c r="E8" s="5">
        <f t="shared" si="0"/>
        <v>0.90409027068558112</v>
      </c>
      <c r="F8" s="5">
        <f t="shared" si="1"/>
        <v>0.925731715620421</v>
      </c>
      <c r="G8" s="5"/>
      <c r="H8" s="4"/>
      <c r="I8" s="4"/>
    </row>
    <row r="9" spans="1:10">
      <c r="A9" s="140">
        <v>0.25</v>
      </c>
      <c r="B9" s="5">
        <f t="shared" si="2"/>
        <v>-8.2054004240710993E-2</v>
      </c>
      <c r="C9" s="5">
        <v>3.7288844688632325</v>
      </c>
      <c r="D9" s="5">
        <v>1.2234464244730918</v>
      </c>
      <c r="E9" s="5">
        <f t="shared" si="0"/>
        <v>0.93222111721580814</v>
      </c>
      <c r="F9" s="5">
        <f t="shared" si="1"/>
        <v>0.91758481835481887</v>
      </c>
      <c r="G9" s="5"/>
      <c r="H9" s="5"/>
      <c r="I9" s="5"/>
    </row>
    <row r="10" spans="1:10">
      <c r="A10" s="140">
        <v>0.3</v>
      </c>
      <c r="B10" s="5">
        <f t="shared" si="2"/>
        <v>-8.044320908797177E-2</v>
      </c>
      <c r="C10" s="5">
        <v>3.180118126890346</v>
      </c>
      <c r="D10" s="5">
        <v>1.2994255361803948</v>
      </c>
      <c r="E10" s="5">
        <f t="shared" si="0"/>
        <v>0.95403543806710378</v>
      </c>
      <c r="F10" s="5">
        <f t="shared" si="1"/>
        <v>0.90959787532627634</v>
      </c>
      <c r="G10" s="5"/>
      <c r="H10" s="5"/>
      <c r="I10" s="5"/>
    </row>
    <row r="11" spans="1:10">
      <c r="A11" s="140">
        <v>0.35</v>
      </c>
      <c r="B11" s="5">
        <f t="shared" si="2"/>
        <v>-7.7358534263080925E-2</v>
      </c>
      <c r="C11" s="5">
        <v>2.77663742590076</v>
      </c>
      <c r="D11" s="5">
        <v>1.3870231313131083</v>
      </c>
      <c r="E11" s="5">
        <f t="shared" si="0"/>
        <v>0.97182309906526598</v>
      </c>
      <c r="F11" s="5">
        <f t="shared" si="1"/>
        <v>0.90156503535352039</v>
      </c>
      <c r="G11" s="5"/>
      <c r="H11" s="141"/>
      <c r="I11" s="141"/>
    </row>
    <row r="12" spans="1:10">
      <c r="A12" s="140">
        <v>0.4</v>
      </c>
      <c r="B12" s="5">
        <f t="shared" si="2"/>
        <v>-7.3001069019793405E-2</v>
      </c>
      <c r="C12" s="5">
        <v>2.4656832482308411</v>
      </c>
      <c r="D12" s="5">
        <v>1.4893975322002375</v>
      </c>
      <c r="E12" s="5">
        <f t="shared" si="0"/>
        <v>0.98627329929233643</v>
      </c>
      <c r="F12" s="5">
        <f t="shared" si="1"/>
        <v>0.89363851932014249</v>
      </c>
      <c r="G12" s="5"/>
      <c r="H12" s="5"/>
      <c r="I12" s="5"/>
    </row>
    <row r="13" spans="1:10">
      <c r="A13" s="140">
        <v>0.45</v>
      </c>
      <c r="B13" s="5">
        <f t="shared" si="2"/>
        <v>-6.7561760684280298E-2</v>
      </c>
      <c r="C13" s="5">
        <v>2.2165813769560589</v>
      </c>
      <c r="D13" s="5">
        <v>1.6113574057428666</v>
      </c>
      <c r="E13" s="5">
        <f t="shared" si="0"/>
        <v>0.9974616196302265</v>
      </c>
      <c r="F13" s="5">
        <f t="shared" si="1"/>
        <v>0.88624657315857669</v>
      </c>
      <c r="G13" s="5"/>
      <c r="H13" s="5"/>
      <c r="I13" s="5"/>
    </row>
    <row r="14" spans="1:10">
      <c r="A14" s="140">
        <v>0.5</v>
      </c>
      <c r="B14" s="5">
        <f t="shared" si="2"/>
        <v>-6.1259330978385027E-2</v>
      </c>
      <c r="C14" s="5">
        <v>2.0104943308265222</v>
      </c>
      <c r="D14" s="5">
        <v>1.7601430278900387</v>
      </c>
      <c r="E14" s="5">
        <f t="shared" si="0"/>
        <v>1.0052471654132611</v>
      </c>
      <c r="F14" s="5">
        <f t="shared" si="1"/>
        <v>0.88007151394501937</v>
      </c>
      <c r="G14" s="5"/>
      <c r="H14" s="5"/>
      <c r="I14" s="5"/>
    </row>
    <row r="15" spans="1:10">
      <c r="A15" s="140">
        <v>0.55000000000000004</v>
      </c>
      <c r="B15" s="5">
        <f t="shared" si="2"/>
        <v>-5.4363498549103328E-2</v>
      </c>
      <c r="C15" s="5">
        <v>1.8353757054611357</v>
      </c>
      <c r="D15" s="5">
        <v>1.9468177508145179</v>
      </c>
      <c r="E15" s="5">
        <f t="shared" si="0"/>
        <v>1.0094566380036247</v>
      </c>
      <c r="F15" s="5">
        <f t="shared" si="1"/>
        <v>0.87606798786653295</v>
      </c>
      <c r="G15" s="5"/>
      <c r="H15" s="5"/>
      <c r="I15" s="5"/>
    </row>
    <row r="16" spans="1:10">
      <c r="A16" s="140">
        <v>0.6</v>
      </c>
      <c r="B16" s="5">
        <f t="shared" si="2"/>
        <v>-4.7213104265483051E-2</v>
      </c>
      <c r="C16" s="5">
        <v>1.6833155282745356</v>
      </c>
      <c r="D16" s="5">
        <v>2.1887888206504447</v>
      </c>
      <c r="E16" s="5">
        <f t="shared" si="0"/>
        <v>1.0099893169647214</v>
      </c>
      <c r="F16" s="5">
        <f t="shared" si="1"/>
        <v>0.87551552826017787</v>
      </c>
      <c r="G16" s="5"/>
      <c r="H16" s="5"/>
      <c r="I16" s="5"/>
    </row>
    <row r="17" spans="1:9">
      <c r="A17" s="140">
        <v>0.65</v>
      </c>
      <c r="B17" s="5">
        <f t="shared" si="2"/>
        <v>-4.0232618283381948E-2</v>
      </c>
      <c r="C17" s="5">
        <v>1.5490740887164449</v>
      </c>
      <c r="D17" s="5">
        <v>2.5145777726919896</v>
      </c>
      <c r="E17" s="5">
        <f t="shared" si="0"/>
        <v>1.0068981576656892</v>
      </c>
      <c r="F17" s="5">
        <f t="shared" si="1"/>
        <v>0.88010222044219633</v>
      </c>
      <c r="G17" s="5"/>
      <c r="H17" s="5"/>
      <c r="I17" s="5"/>
    </row>
    <row r="18" spans="1:9">
      <c r="A18" s="140">
        <v>0.7</v>
      </c>
      <c r="B18" s="5">
        <f t="shared" si="2"/>
        <v>-3.3946561598639298E-2</v>
      </c>
      <c r="C18" s="5">
        <v>1.4292523302892868</v>
      </c>
      <c r="D18" s="5">
        <v>2.9733989452862142</v>
      </c>
      <c r="E18" s="5">
        <f t="shared" si="0"/>
        <v>1.0004766312025006</v>
      </c>
      <c r="F18" s="5">
        <f t="shared" si="1"/>
        <v>0.89201968358586436</v>
      </c>
      <c r="G18" s="5"/>
      <c r="H18" s="5"/>
      <c r="I18" s="5"/>
    </row>
    <row r="19" spans="1:9">
      <c r="A19" s="140">
        <v>0.75</v>
      </c>
      <c r="B19" s="5">
        <f t="shared" si="2"/>
        <v>-2.8985335936918568E-2</v>
      </c>
      <c r="C19" s="5">
        <v>1.3218364112832903</v>
      </c>
      <c r="D19" s="5">
        <v>3.6558669601634244</v>
      </c>
      <c r="E19" s="5">
        <f t="shared" si="0"/>
        <v>0.99137730846246774</v>
      </c>
      <c r="F19" s="5">
        <f t="shared" si="1"/>
        <v>0.9139667400408561</v>
      </c>
      <c r="G19" s="5"/>
      <c r="H19" s="5"/>
      <c r="I19" s="5"/>
    </row>
    <row r="20" spans="1:9">
      <c r="A20" s="140">
        <v>0.8</v>
      </c>
      <c r="B20" s="5">
        <f t="shared" si="2"/>
        <v>-2.6060103502693714E-2</v>
      </c>
      <c r="C20" s="5">
        <v>1.2260009439027042</v>
      </c>
      <c r="D20" s="5">
        <v>4.7430537081854967</v>
      </c>
      <c r="E20" s="5">
        <f t="shared" si="0"/>
        <v>0.98080075512216336</v>
      </c>
      <c r="F20" s="5">
        <f t="shared" si="1"/>
        <v>0.94861074163709913</v>
      </c>
      <c r="G20" s="5"/>
      <c r="H20" s="5"/>
      <c r="I20" s="5"/>
    </row>
    <row r="21" spans="1:9">
      <c r="A21" s="140">
        <v>0.85</v>
      </c>
      <c r="B21" s="5">
        <f t="shared" si="2"/>
        <v>-2.5832673179705622E-2</v>
      </c>
      <c r="C21" s="5">
        <v>1.1421555012671296</v>
      </c>
      <c r="D21" s="5">
        <v>6.6368995147729484</v>
      </c>
      <c r="E21" s="5">
        <f t="shared" si="0"/>
        <v>0.97083217607706018</v>
      </c>
      <c r="F21" s="5">
        <f t="shared" si="1"/>
        <v>0.99553492721594239</v>
      </c>
      <c r="G21" s="5"/>
      <c r="H21" s="5"/>
      <c r="I21" s="5"/>
    </row>
    <row r="22" spans="1:9">
      <c r="A22" s="140">
        <v>0.9</v>
      </c>
      <c r="B22" s="5">
        <f>A22*LN(A22*C22)+(1-A22)*LN((1-A22)*D22)</f>
        <v>-2.8400945527763444E-2</v>
      </c>
      <c r="C22" s="5">
        <v>1.0723425298210261</v>
      </c>
      <c r="D22" s="5">
        <v>10.362675510003593</v>
      </c>
      <c r="E22" s="5">
        <f t="shared" si="0"/>
        <v>0.96510827683892353</v>
      </c>
      <c r="F22" s="5">
        <f t="shared" si="1"/>
        <v>1.0362675510003589</v>
      </c>
      <c r="G22" s="5"/>
      <c r="H22" s="5"/>
      <c r="I22" s="5"/>
    </row>
    <row r="23" spans="1:9">
      <c r="A23" s="140">
        <v>0.95</v>
      </c>
      <c r="B23" s="5">
        <f>A23*LN(A23*C23)+(1-A23)*LN((1-A23)*D23)</f>
        <v>-3.0971603907365523E-2</v>
      </c>
      <c r="C23" s="5">
        <v>1.0213742013230283</v>
      </c>
      <c r="D23" s="5">
        <v>19.087663385637018</v>
      </c>
      <c r="E23" s="5">
        <f t="shared" si="0"/>
        <v>0.97030549125687682</v>
      </c>
      <c r="F23" s="5">
        <f t="shared" si="1"/>
        <v>0.95438316928185174</v>
      </c>
      <c r="G23" s="5"/>
      <c r="H23" s="5"/>
      <c r="I23" s="5"/>
    </row>
    <row r="24" spans="1:9">
      <c r="A24" s="140">
        <v>1</v>
      </c>
      <c r="B24" s="5">
        <v>0</v>
      </c>
      <c r="C24" s="5">
        <v>1.0000000000105798</v>
      </c>
      <c r="D24" s="5">
        <v>45.758179297949532</v>
      </c>
      <c r="E24" s="5">
        <f t="shared" si="0"/>
        <v>1.0000000000105798</v>
      </c>
      <c r="F24" s="5">
        <f t="shared" si="1"/>
        <v>0</v>
      </c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</sheetData>
  <sheetProtection sheet="1" objects="1" scenarios="1"/>
  <phoneticPr fontId="36" type="noConversion"/>
  <pageMargins left="0.75" right="0.75" top="1" bottom="1" header="0.5" footer="0.5"/>
  <pageSetup orientation="portrait" horizontalDpi="300" verticalDpi="300"/>
  <headerFooter alignWithMargins="0">
    <oddHeader>&amp;A</oddHeader>
    <oddFooter>Page 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/>
  <dimension ref="A1:I32"/>
  <sheetViews>
    <sheetView showGridLines="0" workbookViewId="0">
      <selection activeCell="G11" sqref="G11"/>
    </sheetView>
  </sheetViews>
  <sheetFormatPr baseColWidth="10" defaultColWidth="9.6640625" defaultRowHeight="13"/>
  <cols>
    <col min="1" max="2" width="9.6640625" style="4"/>
    <col min="3" max="16384" width="9.6640625" style="5"/>
  </cols>
  <sheetData>
    <row r="1" spans="1:9">
      <c r="A1" s="3" t="s">
        <v>25</v>
      </c>
    </row>
    <row r="3" spans="1:9" ht="16">
      <c r="B3" s="3" t="s">
        <v>26</v>
      </c>
    </row>
    <row r="4" spans="1:9">
      <c r="B4" s="6" t="s">
        <v>251</v>
      </c>
      <c r="C4" s="7"/>
      <c r="D4" s="8" t="s">
        <v>252</v>
      </c>
      <c r="E4" s="9" t="s">
        <v>253</v>
      </c>
    </row>
    <row r="5" spans="1:9">
      <c r="B5" s="10"/>
      <c r="C5" s="11"/>
      <c r="D5" s="12">
        <v>1.861</v>
      </c>
      <c r="E5" s="13">
        <v>1.6365000000000001</v>
      </c>
    </row>
    <row r="6" spans="1:9">
      <c r="A6" s="14"/>
      <c r="B6" s="15" t="s">
        <v>27</v>
      </c>
      <c r="C6" s="16"/>
      <c r="D6" s="17">
        <v>0.05</v>
      </c>
      <c r="E6" s="18"/>
      <c r="F6" s="18"/>
      <c r="G6" s="18"/>
      <c r="H6" s="18"/>
      <c r="I6" s="18"/>
    </row>
    <row r="7" spans="1:9">
      <c r="A7" s="14"/>
      <c r="B7" s="19"/>
      <c r="C7" s="20"/>
      <c r="D7" s="20"/>
      <c r="E7" s="18"/>
      <c r="F7" s="18"/>
      <c r="G7" s="18"/>
      <c r="H7" s="18"/>
      <c r="I7" s="18"/>
    </row>
    <row r="8" spans="1:9">
      <c r="A8" s="14"/>
      <c r="B8" s="19"/>
      <c r="C8" s="20"/>
      <c r="D8" s="20"/>
      <c r="E8" s="18"/>
      <c r="F8" s="18"/>
      <c r="G8" s="18"/>
      <c r="H8" s="18"/>
      <c r="I8" s="18"/>
    </row>
    <row r="9" spans="1:9">
      <c r="A9" s="14" t="s">
        <v>28</v>
      </c>
      <c r="B9" s="14" t="s">
        <v>29</v>
      </c>
      <c r="C9" s="14" t="s">
        <v>30</v>
      </c>
      <c r="D9" s="14" t="s">
        <v>31</v>
      </c>
      <c r="E9" s="14" t="s">
        <v>32</v>
      </c>
      <c r="F9" s="14" t="s">
        <v>33</v>
      </c>
      <c r="G9" s="14" t="s">
        <v>34</v>
      </c>
      <c r="H9" s="18"/>
      <c r="I9" s="18"/>
    </row>
    <row r="10" spans="1:9">
      <c r="A10" s="21">
        <v>0</v>
      </c>
      <c r="B10" s="14">
        <f t="shared" ref="B10:B30" si="0">1-A$10:A$65536</f>
        <v>1</v>
      </c>
      <c r="C10" s="18">
        <f t="shared" ref="C10:C30" si="1">EXP(x2_^2*(A12_+2*(A21_-A12_)*x1_))</f>
        <v>6.4301637211398397</v>
      </c>
      <c r="D10" s="18">
        <f t="shared" ref="D10:D30" si="2">EXP(x1_^2*(A21_+2*(A12_-A21_)*x2_))</f>
        <v>1</v>
      </c>
      <c r="E10" s="18">
        <f t="shared" ref="E10:E30" si="3">x1_*gamma1_</f>
        <v>0</v>
      </c>
      <c r="F10" s="18">
        <f t="shared" ref="F10:F30" si="4">x2_*gamma2_</f>
        <v>1</v>
      </c>
      <c r="G10" s="22">
        <v>0</v>
      </c>
      <c r="H10" s="18"/>
      <c r="I10" s="18"/>
    </row>
    <row r="11" spans="1:9">
      <c r="A11" s="21">
        <f t="shared" ref="A11:A30" si="5">A10+$D$6</f>
        <v>0.05</v>
      </c>
      <c r="B11" s="14">
        <f t="shared" si="0"/>
        <v>0.95</v>
      </c>
      <c r="C11" s="18">
        <f>EXP(x2_^2*(A12_+2*(A21_-A12_)*x1_))</f>
        <v>5.2555852854677658</v>
      </c>
      <c r="D11" s="18">
        <f t="shared" si="2"/>
        <v>1.0051709484437474</v>
      </c>
      <c r="E11" s="18">
        <f t="shared" si="3"/>
        <v>0.26277926427338832</v>
      </c>
      <c r="F11" s="18">
        <f t="shared" si="4"/>
        <v>0.95491240102156005</v>
      </c>
      <c r="G11" s="18">
        <f t="shared" ref="G11:G29" si="6">x1_*LN(activity1)+x2_*LN(activity2)</f>
        <v>-0.11065093084587263</v>
      </c>
      <c r="H11" s="18"/>
      <c r="I11" s="18"/>
    </row>
    <row r="12" spans="1:9">
      <c r="A12" s="21">
        <f t="shared" si="5"/>
        <v>0.1</v>
      </c>
      <c r="B12" s="14">
        <f t="shared" si="0"/>
        <v>0.9</v>
      </c>
      <c r="C12" s="18">
        <f t="shared" si="1"/>
        <v>4.353765052254281</v>
      </c>
      <c r="D12" s="18">
        <f t="shared" si="2"/>
        <v>1.0206156258651411</v>
      </c>
      <c r="E12" s="18">
        <f t="shared" si="3"/>
        <v>0.43537650522542815</v>
      </c>
      <c r="F12" s="18">
        <f t="shared" si="4"/>
        <v>0.91855406327862699</v>
      </c>
      <c r="G12" s="18">
        <f t="shared" si="6"/>
        <v>-0.15961347339144821</v>
      </c>
      <c r="H12" s="18"/>
      <c r="I12" s="18"/>
    </row>
    <row r="13" spans="1:9">
      <c r="A13" s="21">
        <f t="shared" si="5"/>
        <v>0.15000000000000002</v>
      </c>
      <c r="B13" s="14">
        <f t="shared" si="0"/>
        <v>0.85</v>
      </c>
      <c r="C13" s="18">
        <f t="shared" si="1"/>
        <v>3.6543276580692972</v>
      </c>
      <c r="D13" s="18">
        <f t="shared" si="2"/>
        <v>1.0464551187709883</v>
      </c>
      <c r="E13" s="18">
        <f t="shared" si="3"/>
        <v>0.54814914871039466</v>
      </c>
      <c r="F13" s="18">
        <f t="shared" si="4"/>
        <v>0.88948685095533997</v>
      </c>
      <c r="G13" s="18">
        <f t="shared" si="6"/>
        <v>-0.18972515030599094</v>
      </c>
      <c r="H13" s="18"/>
      <c r="I13" s="18"/>
    </row>
    <row r="14" spans="1:9">
      <c r="A14" s="21">
        <f t="shared" si="5"/>
        <v>0.2</v>
      </c>
      <c r="B14" s="14">
        <f t="shared" si="0"/>
        <v>0.8</v>
      </c>
      <c r="C14" s="18">
        <f t="shared" si="1"/>
        <v>3.1067215307931439</v>
      </c>
      <c r="D14" s="18">
        <f t="shared" si="2"/>
        <v>1.0831007583223822</v>
      </c>
      <c r="E14" s="18">
        <f t="shared" si="3"/>
        <v>0.62134430615862879</v>
      </c>
      <c r="F14" s="18">
        <f t="shared" si="4"/>
        <v>0.86648060665790583</v>
      </c>
      <c r="G14" s="18">
        <f t="shared" si="6"/>
        <v>-0.2098264235381877</v>
      </c>
      <c r="H14" s="18"/>
      <c r="I14" s="18"/>
    </row>
    <row r="15" spans="1:9">
      <c r="A15" s="21">
        <f t="shared" si="5"/>
        <v>0.25</v>
      </c>
      <c r="B15" s="14">
        <f t="shared" si="0"/>
        <v>0.75</v>
      </c>
      <c r="C15" s="18">
        <f t="shared" si="1"/>
        <v>2.6742577761844828</v>
      </c>
      <c r="D15" s="18">
        <f t="shared" si="2"/>
        <v>1.1312555532836817</v>
      </c>
      <c r="E15" s="18">
        <f>x1_*gamma1_</f>
        <v>0.6685644440461207</v>
      </c>
      <c r="F15" s="18">
        <f t="shared" si="4"/>
        <v>0.8484416649627613</v>
      </c>
      <c r="G15" s="18">
        <f t="shared" si="6"/>
        <v>-0.22392108211880837</v>
      </c>
      <c r="H15" s="18"/>
      <c r="I15" s="18"/>
    </row>
    <row r="16" spans="1:9">
      <c r="A16" s="21">
        <f t="shared" si="5"/>
        <v>0.3</v>
      </c>
      <c r="B16" s="14">
        <f t="shared" si="0"/>
        <v>0.7</v>
      </c>
      <c r="C16" s="18">
        <f t="shared" si="1"/>
        <v>2.3300436469529755</v>
      </c>
      <c r="D16" s="18">
        <f t="shared" si="2"/>
        <v>1.1919278043637735</v>
      </c>
      <c r="E16" s="18">
        <f t="shared" si="3"/>
        <v>0.69901309408589263</v>
      </c>
      <c r="F16" s="18">
        <f t="shared" si="4"/>
        <v>0.83434946305464142</v>
      </c>
      <c r="G16" s="18">
        <f t="shared" si="6"/>
        <v>-0.2341978020548936</v>
      </c>
      <c r="H16" s="18"/>
      <c r="I16" s="18"/>
    </row>
    <row r="17" spans="1:7">
      <c r="A17" s="21">
        <f t="shared" si="5"/>
        <v>0.35</v>
      </c>
      <c r="B17" s="14">
        <f t="shared" si="0"/>
        <v>0.65</v>
      </c>
      <c r="C17" s="18">
        <f t="shared" si="1"/>
        <v>2.0541797605815471</v>
      </c>
      <c r="D17" s="18">
        <f t="shared" si="2"/>
        <v>1.266456540216101</v>
      </c>
      <c r="E17" s="18">
        <f t="shared" si="3"/>
        <v>0.71896291620354147</v>
      </c>
      <c r="F17" s="18">
        <f t="shared" si="4"/>
        <v>0.82319675114046564</v>
      </c>
      <c r="G17" s="18">
        <f t="shared" si="6"/>
        <v>-0.24194495153463247</v>
      </c>
    </row>
    <row r="18" spans="1:7">
      <c r="A18" s="21">
        <f t="shared" si="5"/>
        <v>0.39999999999999997</v>
      </c>
      <c r="B18" s="14">
        <f t="shared" si="0"/>
        <v>0.60000000000000009</v>
      </c>
      <c r="C18" s="18">
        <f t="shared" si="1"/>
        <v>1.8318089941843523</v>
      </c>
      <c r="D18" s="18">
        <f t="shared" si="2"/>
        <v>1.3565490341332038</v>
      </c>
      <c r="E18" s="18">
        <f t="shared" si="3"/>
        <v>0.73272359767374085</v>
      </c>
      <c r="F18" s="18">
        <f t="shared" si="4"/>
        <v>0.81392942047992245</v>
      </c>
      <c r="G18" s="18">
        <f t="shared" si="6"/>
        <v>-0.24792366700925636</v>
      </c>
    </row>
    <row r="19" spans="1:7">
      <c r="A19" s="21">
        <f t="shared" si="5"/>
        <v>0.44999999999999996</v>
      </c>
      <c r="B19" s="14">
        <f t="shared" si="0"/>
        <v>0.55000000000000004</v>
      </c>
      <c r="C19" s="18">
        <f t="shared" si="1"/>
        <v>1.6517451159016316</v>
      </c>
      <c r="D19" s="18">
        <f t="shared" si="2"/>
        <v>1.4643312081105202</v>
      </c>
      <c r="E19" s="18">
        <f t="shared" si="3"/>
        <v>0.74328530215573418</v>
      </c>
      <c r="F19" s="18">
        <f t="shared" si="4"/>
        <v>0.80538216446078614</v>
      </c>
      <c r="G19" s="18">
        <f t="shared" si="6"/>
        <v>-0.25254500121358847</v>
      </c>
    </row>
    <row r="20" spans="1:7">
      <c r="A20" s="21">
        <f t="shared" si="5"/>
        <v>0.49999999999999994</v>
      </c>
      <c r="B20" s="14">
        <f t="shared" si="0"/>
        <v>0.5</v>
      </c>
      <c r="C20" s="18">
        <f t="shared" si="1"/>
        <v>1.5054998962113584</v>
      </c>
      <c r="D20" s="18">
        <f t="shared" si="2"/>
        <v>1.5924122421889122</v>
      </c>
      <c r="E20" s="18">
        <f t="shared" si="3"/>
        <v>0.75274994810567908</v>
      </c>
      <c r="F20" s="18">
        <f t="shared" si="4"/>
        <v>0.7962061210944561</v>
      </c>
      <c r="G20" s="18">
        <f t="shared" si="6"/>
        <v>-0.25595968055994539</v>
      </c>
    </row>
    <row r="21" spans="1:7">
      <c r="A21" s="21">
        <f t="shared" si="5"/>
        <v>0.54999999999999993</v>
      </c>
      <c r="B21" s="14">
        <f t="shared" si="0"/>
        <v>0.45000000000000007</v>
      </c>
      <c r="C21" s="18">
        <f t="shared" si="1"/>
        <v>1.3865867129327598</v>
      </c>
      <c r="D21" s="18">
        <f t="shared" si="2"/>
        <v>1.7439652066981146</v>
      </c>
      <c r="E21" s="18">
        <f t="shared" si="3"/>
        <v>0.76262269211301781</v>
      </c>
      <c r="F21" s="18">
        <f t="shared" si="4"/>
        <v>0.78478434301415168</v>
      </c>
      <c r="G21" s="18">
        <f t="shared" si="6"/>
        <v>-0.25810137621358842</v>
      </c>
    </row>
    <row r="22" spans="1:7">
      <c r="A22" s="21">
        <f t="shared" si="5"/>
        <v>0.6</v>
      </c>
      <c r="B22" s="14">
        <f t="shared" si="0"/>
        <v>0.4</v>
      </c>
      <c r="C22" s="18">
        <f t="shared" si="1"/>
        <v>1.2900177784205884</v>
      </c>
      <c r="D22" s="18">
        <f t="shared" si="2"/>
        <v>1.9228260405843038</v>
      </c>
      <c r="E22" s="18">
        <f t="shared" si="3"/>
        <v>0.774010667052353</v>
      </c>
      <c r="F22" s="18">
        <f t="shared" si="4"/>
        <v>0.76913041623372158</v>
      </c>
      <c r="G22" s="18">
        <f t="shared" si="6"/>
        <v>-0.2586996670092564</v>
      </c>
    </row>
    <row r="23" spans="1:7">
      <c r="A23" s="21">
        <f t="shared" si="5"/>
        <v>0.65</v>
      </c>
      <c r="B23" s="14">
        <f t="shared" si="0"/>
        <v>0.35</v>
      </c>
      <c r="C23" s="18">
        <f t="shared" si="1"/>
        <v>1.2119381742486484</v>
      </c>
      <c r="D23" s="18">
        <f t="shared" si="2"/>
        <v>2.1336137214696622</v>
      </c>
      <c r="E23" s="18">
        <f t="shared" si="3"/>
        <v>0.78775981326162148</v>
      </c>
      <c r="F23" s="18">
        <f t="shared" si="4"/>
        <v>0.74676480251438171</v>
      </c>
      <c r="G23" s="18">
        <f t="shared" si="6"/>
        <v>-0.25726707653463238</v>
      </c>
    </row>
    <row r="24" spans="1:7">
      <c r="A24" s="21">
        <f t="shared" si="5"/>
        <v>0.70000000000000007</v>
      </c>
      <c r="B24" s="14">
        <f t="shared" si="0"/>
        <v>0.29999999999999993</v>
      </c>
      <c r="C24" s="18">
        <f t="shared" si="1"/>
        <v>1.1493573958746355</v>
      </c>
      <c r="D24" s="18">
        <f t="shared" si="2"/>
        <v>2.3818750175163386</v>
      </c>
      <c r="E24" s="18">
        <f t="shared" si="3"/>
        <v>0.80455017711224486</v>
      </c>
      <c r="F24" s="18">
        <f t="shared" si="4"/>
        <v>0.71456250525490139</v>
      </c>
      <c r="G24" s="18">
        <f t="shared" si="6"/>
        <v>-0.25305580205489353</v>
      </c>
    </row>
    <row r="25" spans="1:7">
      <c r="A25" s="21">
        <f t="shared" si="5"/>
        <v>0.75000000000000011</v>
      </c>
      <c r="B25" s="14">
        <f t="shared" si="0"/>
        <v>0.24999999999999989</v>
      </c>
      <c r="C25" s="18">
        <f t="shared" si="1"/>
        <v>1.0999509908070482</v>
      </c>
      <c r="D25" s="18">
        <f t="shared" si="2"/>
        <v>2.6742577761844841</v>
      </c>
      <c r="E25" s="18">
        <f t="shared" si="3"/>
        <v>0.82496324310528624</v>
      </c>
      <c r="F25" s="18">
        <f t="shared" si="4"/>
        <v>0.6685644440461207</v>
      </c>
      <c r="G25" s="18">
        <f t="shared" si="6"/>
        <v>-0.24496795711880831</v>
      </c>
    </row>
    <row r="26" spans="1:7">
      <c r="A26" s="21">
        <f t="shared" si="5"/>
        <v>0.80000000000000016</v>
      </c>
      <c r="B26" s="14">
        <f t="shared" si="0"/>
        <v>0.19999999999999984</v>
      </c>
      <c r="C26" s="18">
        <f t="shared" si="1"/>
        <v>1.0619130015290572</v>
      </c>
      <c r="D26" s="18">
        <f t="shared" si="2"/>
        <v>3.0187172817007202</v>
      </c>
      <c r="E26" s="18">
        <f t="shared" si="3"/>
        <v>0.84953040122324597</v>
      </c>
      <c r="F26" s="18">
        <f t="shared" si="4"/>
        <v>0.60374345634014359</v>
      </c>
      <c r="G26" s="18">
        <f t="shared" si="6"/>
        <v>-0.23137842353818774</v>
      </c>
    </row>
    <row r="27" spans="1:7">
      <c r="A27" s="21">
        <f t="shared" si="5"/>
        <v>0.8500000000000002</v>
      </c>
      <c r="B27" s="14">
        <f t="shared" si="0"/>
        <v>0.1499999999999998</v>
      </c>
      <c r="C27" s="18">
        <f t="shared" si="1"/>
        <v>1.0338455308160497</v>
      </c>
      <c r="D27" s="18">
        <f t="shared" si="2"/>
        <v>3.4247607833582516</v>
      </c>
      <c r="E27" s="18">
        <f t="shared" si="3"/>
        <v>0.87876870119364248</v>
      </c>
      <c r="F27" s="18">
        <f t="shared" si="4"/>
        <v>0.51371411750373708</v>
      </c>
      <c r="G27" s="18">
        <f t="shared" si="6"/>
        <v>-0.20976177530599072</v>
      </c>
    </row>
    <row r="28" spans="1:7">
      <c r="A28" s="21">
        <f t="shared" si="5"/>
        <v>0.90000000000000024</v>
      </c>
      <c r="B28" s="14">
        <f t="shared" si="0"/>
        <v>9.9999999999999756E-2</v>
      </c>
      <c r="C28" s="18">
        <f t="shared" si="1"/>
        <v>1.0146756451555345</v>
      </c>
      <c r="D28" s="18">
        <f t="shared" si="2"/>
        <v>3.9037358309155699</v>
      </c>
      <c r="E28" s="18">
        <f t="shared" si="3"/>
        <v>0.91320808063998138</v>
      </c>
      <c r="F28" s="18">
        <f t="shared" si="4"/>
        <v>0.39037358309155601</v>
      </c>
      <c r="G28" s="18">
        <f t="shared" si="6"/>
        <v>-0.17577747339144795</v>
      </c>
    </row>
    <row r="29" spans="1:7">
      <c r="A29" s="21">
        <f t="shared" si="5"/>
        <v>0.95000000000000029</v>
      </c>
      <c r="B29" s="14">
        <f t="shared" si="0"/>
        <v>4.9999999999999711E-2</v>
      </c>
      <c r="C29" s="18">
        <f t="shared" si="1"/>
        <v>1.0035925628395899</v>
      </c>
      <c r="D29" s="18">
        <f t="shared" si="2"/>
        <v>4.4691685070393419</v>
      </c>
      <c r="E29" s="18">
        <f t="shared" si="3"/>
        <v>0.95341293469761068</v>
      </c>
      <c r="F29" s="18">
        <f t="shared" si="4"/>
        <v>0.22345842535196581</v>
      </c>
      <c r="G29" s="18">
        <f t="shared" si="6"/>
        <v>-0.12024830584587218</v>
      </c>
    </row>
    <row r="30" spans="1:7">
      <c r="A30" s="21">
        <f t="shared" si="5"/>
        <v>1.0000000000000002</v>
      </c>
      <c r="B30" s="14">
        <f t="shared" si="0"/>
        <v>0</v>
      </c>
      <c r="C30" s="18">
        <f t="shared" si="1"/>
        <v>1</v>
      </c>
      <c r="D30" s="18">
        <f t="shared" si="2"/>
        <v>5.1371579575493547</v>
      </c>
      <c r="E30" s="18">
        <f t="shared" si="3"/>
        <v>1.0000000000000002</v>
      </c>
      <c r="F30" s="18">
        <f t="shared" si="4"/>
        <v>0</v>
      </c>
      <c r="G30" s="22">
        <v>0</v>
      </c>
    </row>
    <row r="31" spans="1:7" s="18" customFormat="1">
      <c r="A31" s="14"/>
      <c r="B31" s="14"/>
    </row>
    <row r="32" spans="1:7" s="18" customFormat="1">
      <c r="A32" s="14"/>
      <c r="B32" s="14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4294967292" verticalDpi="4294967292"/>
  <headerFooter alignWithMargins="0">
    <oddHeader>&amp;F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R85"/>
  <sheetViews>
    <sheetView showGridLines="0" workbookViewId="0">
      <selection activeCell="J6" sqref="J6"/>
    </sheetView>
  </sheetViews>
  <sheetFormatPr baseColWidth="10" defaultColWidth="9.1640625" defaultRowHeight="13"/>
  <cols>
    <col min="1" max="15" width="7.6640625" style="156" customWidth="1"/>
    <col min="16" max="16" width="5.6640625" style="156" customWidth="1"/>
    <col min="17" max="16384" width="9.1640625" style="156"/>
  </cols>
  <sheetData>
    <row r="1" spans="1:17" s="155" customFormat="1">
      <c r="A1" s="155" t="s">
        <v>256</v>
      </c>
    </row>
    <row r="2" spans="1:17" s="155" customFormat="1">
      <c r="A2" s="155" t="s">
        <v>258</v>
      </c>
    </row>
    <row r="3" spans="1:17" s="155" customFormat="1">
      <c r="A3" s="155" t="s">
        <v>259</v>
      </c>
    </row>
    <row r="4" spans="1:17" s="155" customFormat="1">
      <c r="A4" s="155" t="s">
        <v>260</v>
      </c>
    </row>
    <row r="5" spans="1:17" s="155" customFormat="1">
      <c r="A5" s="155" t="s">
        <v>35</v>
      </c>
    </row>
    <row r="6" spans="1:17" s="155" customFormat="1">
      <c r="A6" s="155" t="s">
        <v>36</v>
      </c>
    </row>
    <row r="7" spans="1:17" s="155" customFormat="1">
      <c r="A7" s="155" t="s">
        <v>37</v>
      </c>
    </row>
    <row r="8" spans="1:17">
      <c r="A8" s="160" t="s">
        <v>194</v>
      </c>
    </row>
    <row r="9" spans="1:17" s="155" customFormat="1" ht="15">
      <c r="A9" s="163" t="s">
        <v>195</v>
      </c>
      <c r="B9" s="173"/>
      <c r="C9" s="173"/>
      <c r="D9" s="174" t="s">
        <v>152</v>
      </c>
      <c r="E9" s="174" t="s">
        <v>128</v>
      </c>
      <c r="F9" s="174" t="s">
        <v>129</v>
      </c>
      <c r="G9" s="173"/>
      <c r="H9" s="173" t="s">
        <v>197</v>
      </c>
      <c r="I9" s="173"/>
      <c r="J9" s="175" t="s">
        <v>198</v>
      </c>
      <c r="K9" s="176"/>
    </row>
    <row r="10" spans="1:17" s="155" customFormat="1">
      <c r="A10" s="164">
        <v>1</v>
      </c>
      <c r="B10" s="165" t="s">
        <v>168</v>
      </c>
      <c r="C10" s="165"/>
      <c r="D10" s="165">
        <v>8.0809700000000007</v>
      </c>
      <c r="E10" s="165">
        <v>1582.271</v>
      </c>
      <c r="F10" s="165">
        <v>239.726</v>
      </c>
      <c r="G10" s="171"/>
      <c r="H10" s="165">
        <v>40</v>
      </c>
      <c r="I10" s="171"/>
      <c r="J10" s="165">
        <v>14.5</v>
      </c>
      <c r="K10" s="177"/>
    </row>
    <row r="11" spans="1:17" s="155" customFormat="1">
      <c r="A11" s="166">
        <v>2</v>
      </c>
      <c r="B11" s="167" t="s">
        <v>151</v>
      </c>
      <c r="C11" s="167"/>
      <c r="D11" s="167">
        <v>6.8798700000000004</v>
      </c>
      <c r="E11" s="167">
        <v>1196.76</v>
      </c>
      <c r="F11" s="167">
        <v>219.161</v>
      </c>
      <c r="G11" s="178"/>
      <c r="H11" s="167">
        <v>88</v>
      </c>
      <c r="I11" s="178"/>
      <c r="J11" s="167">
        <v>9.1999999999999993</v>
      </c>
      <c r="K11" s="179"/>
    </row>
    <row r="12" spans="1:17">
      <c r="A12" s="156" t="s">
        <v>257</v>
      </c>
    </row>
    <row r="13" spans="1:17">
      <c r="A13" s="161" t="s">
        <v>261</v>
      </c>
      <c r="H13" s="156" t="s">
        <v>209</v>
      </c>
      <c r="I13" s="161">
        <v>760</v>
      </c>
      <c r="J13" s="156" t="s">
        <v>210</v>
      </c>
    </row>
    <row r="14" spans="1:17" ht="15">
      <c r="A14" s="168" t="s">
        <v>52</v>
      </c>
      <c r="B14" s="169">
        <v>0</v>
      </c>
      <c r="C14" s="169">
        <v>2.5999999999999999E-2</v>
      </c>
      <c r="D14" s="169">
        <v>0.05</v>
      </c>
      <c r="E14" s="169">
        <v>8.7999999999999995E-2</v>
      </c>
      <c r="F14" s="169">
        <v>0.16400000000000001</v>
      </c>
      <c r="G14" s="169">
        <f>C36</f>
        <v>0.28420941450762771</v>
      </c>
      <c r="H14" s="169">
        <v>0.33300000000000002</v>
      </c>
      <c r="I14" s="169">
        <v>0.54900000000000004</v>
      </c>
      <c r="J14" s="169">
        <v>0.69899999999999995</v>
      </c>
      <c r="K14" s="169">
        <v>0.78200000000000003</v>
      </c>
      <c r="L14" s="169">
        <v>0.89800000000000002</v>
      </c>
      <c r="M14" s="169">
        <f>C37</f>
        <v>0.97303263263832951</v>
      </c>
      <c r="N14" s="169">
        <v>0.97299999999999998</v>
      </c>
      <c r="O14" s="169">
        <v>1</v>
      </c>
      <c r="P14" s="161"/>
      <c r="Q14" s="161"/>
    </row>
    <row r="15" spans="1:17" ht="15">
      <c r="A15" s="168" t="s">
        <v>199</v>
      </c>
      <c r="B15" s="169">
        <v>0</v>
      </c>
      <c r="C15" s="169">
        <v>0.26700000000000002</v>
      </c>
      <c r="D15" s="169">
        <v>0.371</v>
      </c>
      <c r="E15" s="169">
        <v>0.45700000000000002</v>
      </c>
      <c r="F15" s="169">
        <v>0.52600000000000002</v>
      </c>
      <c r="G15" s="169"/>
      <c r="H15" s="169">
        <v>0.55900000000000005</v>
      </c>
      <c r="I15" s="169">
        <v>0.59499999999999997</v>
      </c>
      <c r="J15" s="169">
        <v>0.63300000000000001</v>
      </c>
      <c r="K15" s="169">
        <v>0.66500000000000004</v>
      </c>
      <c r="L15" s="169">
        <v>0.76</v>
      </c>
      <c r="M15" s="169"/>
      <c r="N15" s="169">
        <v>0.90700000000000003</v>
      </c>
      <c r="O15" s="169">
        <v>1</v>
      </c>
      <c r="P15" s="161"/>
      <c r="Q15" s="161"/>
    </row>
    <row r="16" spans="1:17">
      <c r="A16" s="168" t="s">
        <v>196</v>
      </c>
      <c r="B16" s="169">
        <v>80.099999999999994</v>
      </c>
      <c r="C16" s="169">
        <v>70.67</v>
      </c>
      <c r="D16" s="169">
        <v>66.44</v>
      </c>
      <c r="E16" s="169">
        <v>62.87</v>
      </c>
      <c r="F16" s="169">
        <v>60.2</v>
      </c>
      <c r="G16" s="169"/>
      <c r="H16" s="169">
        <v>58.64</v>
      </c>
      <c r="I16" s="169">
        <v>58.02</v>
      </c>
      <c r="J16" s="169">
        <v>58.1</v>
      </c>
      <c r="K16" s="169">
        <v>58.47</v>
      </c>
      <c r="L16" s="169">
        <v>59.9</v>
      </c>
      <c r="M16" s="169"/>
      <c r="N16" s="169">
        <v>62.7</v>
      </c>
      <c r="O16" s="169">
        <v>64.7</v>
      </c>
      <c r="P16" s="161"/>
      <c r="Q16" s="161"/>
    </row>
    <row r="17" spans="1:16">
      <c r="A17" s="156" t="s">
        <v>203</v>
      </c>
    </row>
    <row r="18" spans="1:16">
      <c r="A18" s="168" t="s">
        <v>38</v>
      </c>
      <c r="B18" s="168">
        <f>B16+273.15</f>
        <v>353.25</v>
      </c>
      <c r="C18" s="168">
        <f t="shared" ref="C18:O18" si="0">C16+273.15</f>
        <v>343.82</v>
      </c>
      <c r="D18" s="168">
        <f t="shared" si="0"/>
        <v>339.59</v>
      </c>
      <c r="E18" s="168">
        <f t="shared" si="0"/>
        <v>336.02</v>
      </c>
      <c r="F18" s="168">
        <f t="shared" si="0"/>
        <v>333.34999999999997</v>
      </c>
      <c r="G18" s="168"/>
      <c r="H18" s="168">
        <f t="shared" si="0"/>
        <v>331.78999999999996</v>
      </c>
      <c r="I18" s="168">
        <f t="shared" si="0"/>
        <v>331.16999999999996</v>
      </c>
      <c r="J18" s="168">
        <f t="shared" si="0"/>
        <v>331.25</v>
      </c>
      <c r="K18" s="168">
        <f t="shared" si="0"/>
        <v>331.62</v>
      </c>
      <c r="L18" s="168">
        <f t="shared" si="0"/>
        <v>333.04999999999995</v>
      </c>
      <c r="M18" s="168"/>
      <c r="N18" s="168">
        <f t="shared" si="0"/>
        <v>335.84999999999997</v>
      </c>
      <c r="O18" s="168">
        <f t="shared" si="0"/>
        <v>337.84999999999997</v>
      </c>
    </row>
    <row r="19" spans="1:16" ht="15">
      <c r="A19" s="170" t="s">
        <v>204</v>
      </c>
      <c r="B19" s="168">
        <f t="shared" ref="B19:O19" si="1">V1_*x1__/(V1_*x1__+V2_*(1-x1__))</f>
        <v>0</v>
      </c>
      <c r="C19" s="168">
        <f t="shared" si="1"/>
        <v>1.1988196237550718E-2</v>
      </c>
      <c r="D19" s="168">
        <f t="shared" si="1"/>
        <v>2.3364485981308414E-2</v>
      </c>
      <c r="E19" s="168">
        <f t="shared" si="1"/>
        <v>4.2016806722689072E-2</v>
      </c>
      <c r="F19" s="168">
        <f t="shared" si="1"/>
        <v>8.1869009584664545E-2</v>
      </c>
      <c r="G19" s="168">
        <f t="shared" si="1"/>
        <v>0.15288717440751348</v>
      </c>
      <c r="H19" s="168">
        <f t="shared" si="1"/>
        <v>0.18495889802266163</v>
      </c>
      <c r="I19" s="168">
        <f t="shared" si="1"/>
        <v>0.35621593563457049</v>
      </c>
      <c r="J19" s="168">
        <f t="shared" si="1"/>
        <v>0.51351748457243607</v>
      </c>
      <c r="K19" s="168">
        <f t="shared" si="1"/>
        <v>0.61984781230183894</v>
      </c>
      <c r="L19" s="168">
        <f t="shared" si="1"/>
        <v>0.80007127583749116</v>
      </c>
      <c r="M19" s="168">
        <f t="shared" si="1"/>
        <v>0.94253152013423314</v>
      </c>
      <c r="N19" s="168">
        <f t="shared" si="1"/>
        <v>0.94246416117783793</v>
      </c>
      <c r="O19" s="168">
        <f t="shared" si="1"/>
        <v>1</v>
      </c>
    </row>
    <row r="21" spans="1:16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spans="1:16" s="155" customFormat="1">
      <c r="A22" s="155" t="s">
        <v>220</v>
      </c>
    </row>
    <row r="23" spans="1:16" ht="15">
      <c r="A23" s="168" t="s">
        <v>52</v>
      </c>
      <c r="B23" s="168">
        <f>B14</f>
        <v>0</v>
      </c>
      <c r="C23" s="168">
        <f t="shared" ref="C23:O23" si="2">C14</f>
        <v>2.5999999999999999E-2</v>
      </c>
      <c r="D23" s="168">
        <f t="shared" si="2"/>
        <v>0.05</v>
      </c>
      <c r="E23" s="168">
        <f t="shared" si="2"/>
        <v>8.7999999999999995E-2</v>
      </c>
      <c r="F23" s="168">
        <f t="shared" si="2"/>
        <v>0.16400000000000001</v>
      </c>
      <c r="G23" s="168">
        <f t="shared" si="2"/>
        <v>0.28420941450762771</v>
      </c>
      <c r="H23" s="168">
        <f t="shared" si="2"/>
        <v>0.33300000000000002</v>
      </c>
      <c r="I23" s="168">
        <f t="shared" si="2"/>
        <v>0.54900000000000004</v>
      </c>
      <c r="J23" s="168">
        <f t="shared" si="2"/>
        <v>0.69899999999999995</v>
      </c>
      <c r="K23" s="168">
        <f t="shared" si="2"/>
        <v>0.78200000000000003</v>
      </c>
      <c r="L23" s="168">
        <f t="shared" si="2"/>
        <v>0.89800000000000002</v>
      </c>
      <c r="M23" s="168">
        <f t="shared" si="2"/>
        <v>0.97303263263832951</v>
      </c>
      <c r="N23" s="168">
        <f t="shared" si="2"/>
        <v>0.97299999999999998</v>
      </c>
      <c r="O23" s="168">
        <f t="shared" si="2"/>
        <v>1</v>
      </c>
    </row>
    <row r="24" spans="1:16" s="155" customFormat="1" ht="15">
      <c r="A24" s="170" t="s">
        <v>206</v>
      </c>
      <c r="B24" s="168">
        <f t="shared" ref="B24:O24" si="3">EXP(V1_*(1-phir1)^2*(_del1-_del2)^2/1.987/T.)</f>
        <v>4.9569105738615145</v>
      </c>
      <c r="C24" s="168">
        <f t="shared" si="3"/>
        <v>4.8953892464632363</v>
      </c>
      <c r="D24" s="168">
        <f t="shared" si="3"/>
        <v>4.8067878322186699</v>
      </c>
      <c r="E24" s="168">
        <f t="shared" si="3"/>
        <v>4.6265030912687397</v>
      </c>
      <c r="F24" s="168">
        <f t="shared" si="3"/>
        <v>4.1889013632289283</v>
      </c>
      <c r="G24" s="168">
        <f t="shared" si="3"/>
        <v>3.4440802346676183</v>
      </c>
      <c r="H24" s="168">
        <f t="shared" si="3"/>
        <v>3.1520240793858818</v>
      </c>
      <c r="I24" s="168">
        <f t="shared" si="3"/>
        <v>2.0509166358027611</v>
      </c>
      <c r="J24" s="168">
        <f t="shared" si="3"/>
        <v>1.5066233097275328</v>
      </c>
      <c r="K24" s="168">
        <f t="shared" si="3"/>
        <v>1.2848416622364158</v>
      </c>
      <c r="L24" s="168">
        <f t="shared" si="3"/>
        <v>1.0721716027691996</v>
      </c>
      <c r="M24" s="168">
        <f t="shared" si="3"/>
        <v>1.0057077474538905</v>
      </c>
      <c r="N24" s="168">
        <f t="shared" si="3"/>
        <v>1.0057212844191814</v>
      </c>
      <c r="O24" s="168">
        <f t="shared" si="3"/>
        <v>1</v>
      </c>
    </row>
    <row r="25" spans="1:16" s="155" customFormat="1" ht="15">
      <c r="A25" s="170" t="s">
        <v>207</v>
      </c>
      <c r="B25" s="168">
        <f>EXP(V2_*phir1^2*(_del1-_del2)^2/1.987/T.)</f>
        <v>1</v>
      </c>
      <c r="C25" s="168">
        <f t="shared" ref="C25:O25" si="4">EXP(V2_*phir1^2*(_del1-_del2)^2/1.987/30:30)</f>
        <v>1.0005145749664133</v>
      </c>
      <c r="D25" s="168">
        <f t="shared" si="4"/>
        <v>1.0019788239037748</v>
      </c>
      <c r="E25" s="168">
        <f t="shared" si="4"/>
        <v>1.0065037506593932</v>
      </c>
      <c r="F25" s="168">
        <f t="shared" si="4"/>
        <v>1.0253735279435017</v>
      </c>
      <c r="G25" s="168">
        <f t="shared" si="4"/>
        <v>1.0926653085140907</v>
      </c>
      <c r="H25" s="168">
        <f t="shared" si="4"/>
        <v>1.138906677705263</v>
      </c>
      <c r="I25" s="168">
        <f t="shared" si="4"/>
        <v>1.622228912529682</v>
      </c>
      <c r="J25" s="168">
        <f t="shared" si="4"/>
        <v>2.7311471665878462</v>
      </c>
      <c r="K25" s="168">
        <f t="shared" si="4"/>
        <v>4.3316746164511439</v>
      </c>
      <c r="L25" s="168">
        <f t="shared" si="4"/>
        <v>11.648045417848389</v>
      </c>
      <c r="M25" s="168">
        <f t="shared" si="4"/>
        <v>29.022951045407453</v>
      </c>
      <c r="N25" s="168">
        <f t="shared" si="4"/>
        <v>29.01086910995825</v>
      </c>
      <c r="O25" s="168">
        <f t="shared" si="4"/>
        <v>39.801581899478357</v>
      </c>
    </row>
    <row r="26" spans="1:16" s="155" customFormat="1" ht="16">
      <c r="A26" s="168" t="s">
        <v>205</v>
      </c>
      <c r="B26" s="168">
        <f t="shared" ref="B26:O26" si="5">10^($D$10-$E$10/(T.-273.15+$F$10))</f>
        <v>1360.4244826227955</v>
      </c>
      <c r="C26" s="168">
        <f t="shared" si="5"/>
        <v>1106.0716894196546</v>
      </c>
      <c r="D26" s="168">
        <f t="shared" si="5"/>
        <v>952.13751813998692</v>
      </c>
      <c r="E26" s="168">
        <f t="shared" si="5"/>
        <v>793.17570520646234</v>
      </c>
      <c r="F26" s="168">
        <f t="shared" si="5"/>
        <v>624.09550573195474</v>
      </c>
      <c r="G26" s="168">
        <f t="shared" si="5"/>
        <v>515.23517491348866</v>
      </c>
      <c r="H26" s="168">
        <f t="shared" si="5"/>
        <v>495.45315404077894</v>
      </c>
      <c r="I26" s="168">
        <f t="shared" si="5"/>
        <v>476.60082528583428</v>
      </c>
      <c r="J26" s="168">
        <f t="shared" si="5"/>
        <v>481.25784065913791</v>
      </c>
      <c r="K26" s="168">
        <f t="shared" si="5"/>
        <v>471.90498406610601</v>
      </c>
      <c r="L26" s="168">
        <f t="shared" si="5"/>
        <v>438.81929731294923</v>
      </c>
      <c r="M26" s="168">
        <f t="shared" si="5"/>
        <v>515.20021082961773</v>
      </c>
      <c r="N26" s="168">
        <f t="shared" si="5"/>
        <v>515.06332009917355</v>
      </c>
      <c r="O26" s="168">
        <f t="shared" si="5"/>
        <v>759.99493194240233</v>
      </c>
    </row>
    <row r="27" spans="1:16" s="155" customFormat="1" ht="16">
      <c r="A27" s="168" t="s">
        <v>208</v>
      </c>
      <c r="B27" s="168">
        <f t="shared" ref="B27:O27" si="6">10^($D$11-$E$11/(T.-273.15+$F$11))</f>
        <v>759.99647184576554</v>
      </c>
      <c r="C27" s="168">
        <f t="shared" si="6"/>
        <v>635.41766727657637</v>
      </c>
      <c r="D27" s="168">
        <f t="shared" si="6"/>
        <v>558.01145075826309</v>
      </c>
      <c r="E27" s="168">
        <f t="shared" si="6"/>
        <v>476.1449152549032</v>
      </c>
      <c r="F27" s="168">
        <f t="shared" si="6"/>
        <v>386.4323406842887</v>
      </c>
      <c r="G27" s="168">
        <f t="shared" si="6"/>
        <v>326.88419942406364</v>
      </c>
      <c r="H27" s="168">
        <f t="shared" si="6"/>
        <v>315.88451184319132</v>
      </c>
      <c r="I27" s="168">
        <f t="shared" si="6"/>
        <v>305.34539133329133</v>
      </c>
      <c r="J27" s="168">
        <f t="shared" si="6"/>
        <v>307.95407166301629</v>
      </c>
      <c r="K27" s="168">
        <f t="shared" si="6"/>
        <v>302.71141797579514</v>
      </c>
      <c r="L27" s="168">
        <f t="shared" si="6"/>
        <v>284.04893393464897</v>
      </c>
      <c r="M27" s="168">
        <f t="shared" si="6"/>
        <v>326.86480983633123</v>
      </c>
      <c r="N27" s="168">
        <f t="shared" si="6"/>
        <v>326.78889433534675</v>
      </c>
      <c r="O27" s="168">
        <f t="shared" si="6"/>
        <v>458.77274017912782</v>
      </c>
    </row>
    <row r="28" spans="1:16" ht="15">
      <c r="A28" s="168" t="s">
        <v>254</v>
      </c>
      <c r="B28" s="168">
        <f t="shared" ref="B28:O28" si="7">x1.*gam1.*P1sat./Pexpt</f>
        <v>0</v>
      </c>
      <c r="C28" s="168">
        <f t="shared" si="7"/>
        <v>0.18523807606481901</v>
      </c>
      <c r="D28" s="168">
        <f t="shared" si="7"/>
        <v>0.30110019978909031</v>
      </c>
      <c r="E28" s="168">
        <f t="shared" si="7"/>
        <v>0.42490450918554279</v>
      </c>
      <c r="F28" s="168">
        <f t="shared" si="7"/>
        <v>0.56413292160300499</v>
      </c>
      <c r="G28" s="168">
        <f t="shared" si="7"/>
        <v>0.6635958059604512</v>
      </c>
      <c r="H28" s="168">
        <f t="shared" si="7"/>
        <v>0.68426254011950605</v>
      </c>
      <c r="I28" s="168">
        <f t="shared" si="7"/>
        <v>0.70609242119422044</v>
      </c>
      <c r="J28" s="168">
        <f t="shared" si="7"/>
        <v>0.6668775292468565</v>
      </c>
      <c r="K28" s="168">
        <f t="shared" si="7"/>
        <v>0.62387464473882026</v>
      </c>
      <c r="L28" s="168">
        <f t="shared" si="7"/>
        <v>0.55592059370370883</v>
      </c>
      <c r="M28" s="168">
        <f t="shared" si="7"/>
        <v>0.66337888032750214</v>
      </c>
      <c r="N28" s="168">
        <f t="shared" si="7"/>
        <v>0.66318930258351361</v>
      </c>
      <c r="O28" s="168">
        <f t="shared" si="7"/>
        <v>0.99999333150316094</v>
      </c>
    </row>
    <row r="29" spans="1:16" ht="15">
      <c r="A29" s="168" t="s">
        <v>255</v>
      </c>
      <c r="B29" s="180">
        <f t="shared" ref="B29:O29" si="8">(1-x1.)*gam2.*P2sat./Pexpt</f>
        <v>0.99999535769179682</v>
      </c>
      <c r="C29" s="180">
        <f t="shared" si="8"/>
        <v>0.81475694306781299</v>
      </c>
      <c r="D29" s="180">
        <f t="shared" si="8"/>
        <v>0.69889457144450451</v>
      </c>
      <c r="E29" s="180">
        <f t="shared" si="8"/>
        <v>0.57508997167375087</v>
      </c>
      <c r="F29" s="180">
        <f t="shared" si="8"/>
        <v>0.43586124172680568</v>
      </c>
      <c r="G29" s="180">
        <f t="shared" si="8"/>
        <v>0.3363980526188558</v>
      </c>
      <c r="H29" s="180">
        <f t="shared" si="8"/>
        <v>0.31573935211564808</v>
      </c>
      <c r="I29" s="180">
        <f t="shared" si="8"/>
        <v>0.2939452566841822</v>
      </c>
      <c r="J29" s="180">
        <f t="shared" si="8"/>
        <v>0.33310715127467488</v>
      </c>
      <c r="K29" s="180">
        <f t="shared" si="8"/>
        <v>0.37612095479939361</v>
      </c>
      <c r="L29" s="180">
        <f t="shared" si="8"/>
        <v>0.44405094487229618</v>
      </c>
      <c r="M29" s="180">
        <f t="shared" si="8"/>
        <v>0.33661595385312693</v>
      </c>
      <c r="N29" s="180">
        <f t="shared" si="8"/>
        <v>0.33680474432114432</v>
      </c>
      <c r="O29" s="180">
        <f t="shared" si="8"/>
        <v>0</v>
      </c>
    </row>
    <row r="30" spans="1:16">
      <c r="A30" s="168" t="s">
        <v>38</v>
      </c>
      <c r="B30" s="168">
        <v>353.24944412400248</v>
      </c>
      <c r="C30" s="168">
        <v>347.54199618187357</v>
      </c>
      <c r="D30" s="168">
        <v>343.53516626418633</v>
      </c>
      <c r="E30" s="168">
        <v>338.7873661067195</v>
      </c>
      <c r="F30" s="168">
        <v>332.77230370337787</v>
      </c>
      <c r="G30" s="168">
        <v>328.13092185097713</v>
      </c>
      <c r="H30" s="168">
        <v>327.20056449507689</v>
      </c>
      <c r="I30" s="168">
        <v>326.28446968306304</v>
      </c>
      <c r="J30" s="168">
        <v>326.51355866430913</v>
      </c>
      <c r="K30" s="168">
        <v>326.05156062611064</v>
      </c>
      <c r="L30" s="168">
        <v>324.35300375485554</v>
      </c>
      <c r="M30" s="168">
        <v>328.12930409461444</v>
      </c>
      <c r="N30" s="168">
        <v>328.12296939939716</v>
      </c>
      <c r="O30" s="168">
        <v>337.69756308826925</v>
      </c>
      <c r="P30" s="156" t="s">
        <v>211</v>
      </c>
    </row>
    <row r="31" spans="1:16" ht="16">
      <c r="A31" s="180" t="s">
        <v>218</v>
      </c>
      <c r="B31" s="168">
        <f t="shared" ref="B31:O31" si="9">(y1.+y2.-1)^2</f>
        <v>2.1551025453352636E-11</v>
      </c>
      <c r="C31" s="168">
        <f t="shared" si="9"/>
        <v>2.480903973759251E-11</v>
      </c>
      <c r="D31" s="168">
        <f t="shared" si="9"/>
        <v>2.7339998119994673E-11</v>
      </c>
      <c r="E31" s="168">
        <f t="shared" si="9"/>
        <v>3.0460914136432723E-11</v>
      </c>
      <c r="F31" s="168">
        <f t="shared" si="9"/>
        <v>3.4066718899658724E-11</v>
      </c>
      <c r="G31" s="168">
        <f t="shared" si="9"/>
        <v>3.7717048128353366E-11</v>
      </c>
      <c r="H31" s="168">
        <f t="shared" si="9"/>
        <v>3.5805538784941074E-12</v>
      </c>
      <c r="I31" s="168">
        <f t="shared" si="9"/>
        <v>1.419622520920104E-9</v>
      </c>
      <c r="J31" s="168">
        <f t="shared" si="9"/>
        <v>2.3468642055195836E-10</v>
      </c>
      <c r="K31" s="168">
        <f t="shared" si="9"/>
        <v>1.9364063930656591E-11</v>
      </c>
      <c r="L31" s="168">
        <f t="shared" si="9"/>
        <v>8.1005265581917159E-10</v>
      </c>
      <c r="M31" s="168">
        <f t="shared" si="9"/>
        <v>2.6685689773113157E-11</v>
      </c>
      <c r="N31" s="168">
        <f t="shared" si="9"/>
        <v>3.5439344151121244E-11</v>
      </c>
      <c r="O31" s="168">
        <f t="shared" si="9"/>
        <v>4.4468850092517836E-11</v>
      </c>
      <c r="P31" s="180">
        <f>SUM(B31:O31)</f>
        <v>2.7698448435925212E-9</v>
      </c>
    </row>
    <row r="32" spans="1:16">
      <c r="A32" s="155"/>
      <c r="B32" s="155"/>
      <c r="C32" s="155"/>
      <c r="D32" s="155"/>
      <c r="F32" s="155"/>
      <c r="G32" s="156" t="s">
        <v>213</v>
      </c>
      <c r="I32" s="155" t="s">
        <v>212</v>
      </c>
      <c r="K32" s="155"/>
      <c r="L32" s="155"/>
      <c r="M32" s="162" t="s">
        <v>213</v>
      </c>
      <c r="N32" s="155"/>
      <c r="O32" s="155"/>
    </row>
    <row r="33" spans="1:18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spans="1:18">
      <c r="A34" s="155" t="s">
        <v>244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R34" s="156" t="s">
        <v>214</v>
      </c>
    </row>
    <row r="35" spans="1:18">
      <c r="A35" s="168" t="s">
        <v>20</v>
      </c>
      <c r="B35" s="170" t="s">
        <v>202</v>
      </c>
      <c r="C35" s="181" t="s">
        <v>28</v>
      </c>
      <c r="D35" s="158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R35" s="156" t="s">
        <v>215</v>
      </c>
    </row>
    <row r="36" spans="1:18">
      <c r="A36" s="170" t="s">
        <v>200</v>
      </c>
      <c r="B36" s="168">
        <f>G14*G24-M14*M24</f>
        <v>2.5356984235358482E-4</v>
      </c>
      <c r="C36" s="168">
        <v>0.28420941450762771</v>
      </c>
      <c r="D36" s="155"/>
      <c r="R36" s="156" t="s">
        <v>216</v>
      </c>
    </row>
    <row r="37" spans="1:18">
      <c r="A37" s="170" t="s">
        <v>201</v>
      </c>
      <c r="B37" s="168">
        <f>G15*G25-M15*M25</f>
        <v>0</v>
      </c>
      <c r="C37" s="168">
        <v>0.97303263263832951</v>
      </c>
      <c r="D37" s="155"/>
      <c r="R37" s="156" t="s">
        <v>217</v>
      </c>
    </row>
    <row r="38" spans="1:18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spans="1:18" s="155" customFormat="1">
      <c r="A39" s="155" t="s">
        <v>219</v>
      </c>
      <c r="I39" s="161">
        <v>-3.3096609259584214E-2</v>
      </c>
    </row>
    <row r="40" spans="1:18" ht="15">
      <c r="A40" s="168" t="s">
        <v>52</v>
      </c>
      <c r="B40" s="168">
        <f>B$14</f>
        <v>0</v>
      </c>
      <c r="C40" s="168">
        <f t="shared" ref="C40:O40" si="10">C$14</f>
        <v>2.5999999999999999E-2</v>
      </c>
      <c r="D40" s="168">
        <f t="shared" si="10"/>
        <v>0.05</v>
      </c>
      <c r="E40" s="168">
        <f t="shared" si="10"/>
        <v>8.7999999999999995E-2</v>
      </c>
      <c r="F40" s="168">
        <f t="shared" si="10"/>
        <v>0.16400000000000001</v>
      </c>
      <c r="G40" s="168">
        <f t="shared" si="10"/>
        <v>0.28420941450762771</v>
      </c>
      <c r="H40" s="168">
        <f t="shared" si="10"/>
        <v>0.33300000000000002</v>
      </c>
      <c r="I40" s="168">
        <f t="shared" si="10"/>
        <v>0.54900000000000004</v>
      </c>
      <c r="J40" s="168">
        <f t="shared" si="10"/>
        <v>0.69899999999999995</v>
      </c>
      <c r="K40" s="168">
        <f t="shared" si="10"/>
        <v>0.78200000000000003</v>
      </c>
      <c r="L40" s="168">
        <f t="shared" si="10"/>
        <v>0.89800000000000002</v>
      </c>
      <c r="M40" s="168">
        <f t="shared" si="10"/>
        <v>0.97303263263832951</v>
      </c>
      <c r="N40" s="168">
        <f t="shared" si="10"/>
        <v>0.97299999999999998</v>
      </c>
      <c r="O40" s="168">
        <f t="shared" si="10"/>
        <v>1</v>
      </c>
    </row>
    <row r="41" spans="1:18" s="155" customFormat="1" ht="15">
      <c r="A41" s="170" t="s">
        <v>206</v>
      </c>
      <c r="B41" s="168">
        <f t="shared" ref="B41:O41" si="11">EXP(V1_*(1-phir1)^2*((_del1-_del2)^2+2*$I$39*_del1*_del2)/1.987/T..)</f>
        <v>2.9968805921716477</v>
      </c>
      <c r="C41" s="168">
        <f t="shared" si="11"/>
        <v>2.9495603507639498</v>
      </c>
      <c r="D41" s="168">
        <f t="shared" si="11"/>
        <v>2.8999499873639834</v>
      </c>
      <c r="E41" s="168">
        <f t="shared" si="11"/>
        <v>2.8129926773767133</v>
      </c>
      <c r="F41" s="168">
        <f t="shared" si="11"/>
        <v>2.620076760514078</v>
      </c>
      <c r="G41" s="168">
        <f t="shared" si="11"/>
        <v>2.2950439191769609</v>
      </c>
      <c r="H41" s="168">
        <f t="shared" si="11"/>
        <v>2.163237854862297</v>
      </c>
      <c r="I41" s="168">
        <f t="shared" si="11"/>
        <v>1.6236817461687381</v>
      </c>
      <c r="J41" s="168">
        <f t="shared" si="11"/>
        <v>1.3191032568621823</v>
      </c>
      <c r="K41" s="168">
        <f t="shared" si="11"/>
        <v>1.1842533008087999</v>
      </c>
      <c r="L41" s="168">
        <f t="shared" si="11"/>
        <v>1.0478249988712003</v>
      </c>
      <c r="M41" s="168">
        <f t="shared" si="11"/>
        <v>1.0038355908678793</v>
      </c>
      <c r="N41" s="168">
        <f t="shared" si="11"/>
        <v>1.0038446356584341</v>
      </c>
      <c r="O41" s="168">
        <f t="shared" si="11"/>
        <v>1</v>
      </c>
    </row>
    <row r="42" spans="1:18" s="155" customFormat="1" ht="15">
      <c r="A42" s="170" t="s">
        <v>207</v>
      </c>
      <c r="B42" s="168">
        <f t="shared" ref="B42:O42" si="12">EXP(V2_*phir1^2*((_del1-_del2)^2+2*$I$39*_del1*_del2)/1.987/T..)</f>
        <v>1</v>
      </c>
      <c r="C42" s="168">
        <f t="shared" si="12"/>
        <v>1.0003504058870856</v>
      </c>
      <c r="D42" s="168">
        <f t="shared" si="12"/>
        <v>1.0013414851004465</v>
      </c>
      <c r="E42" s="168">
        <f t="shared" si="12"/>
        <v>1.0043866084313879</v>
      </c>
      <c r="F42" s="168">
        <f t="shared" si="12"/>
        <v>1.0169916042827267</v>
      </c>
      <c r="G42" s="168">
        <f t="shared" si="12"/>
        <v>1.0613401869955339</v>
      </c>
      <c r="H42" s="168">
        <f t="shared" si="12"/>
        <v>1.0913547267280208</v>
      </c>
      <c r="I42" s="168">
        <f t="shared" si="12"/>
        <v>1.3860617782271629</v>
      </c>
      <c r="J42" s="168">
        <f t="shared" si="12"/>
        <v>1.9717003229910215</v>
      </c>
      <c r="K42" s="168">
        <f t="shared" si="12"/>
        <v>2.6888943957406983</v>
      </c>
      <c r="L42" s="168">
        <f t="shared" si="12"/>
        <v>5.1856219032953943</v>
      </c>
      <c r="M42" s="168">
        <f t="shared" si="12"/>
        <v>9.6355230129680614</v>
      </c>
      <c r="N42" s="168">
        <f t="shared" si="12"/>
        <v>9.6325782553196415</v>
      </c>
      <c r="O42" s="168">
        <f t="shared" si="12"/>
        <v>12.501637036017343</v>
      </c>
    </row>
    <row r="43" spans="1:18" s="155" customFormat="1" ht="16">
      <c r="A43" s="168" t="s">
        <v>205</v>
      </c>
      <c r="B43" s="168">
        <f t="shared" ref="B43:O43" si="13">10^($D$10-$E$10/(T..-273.15+$F$10))</f>
        <v>1360.423234780093</v>
      </c>
      <c r="C43" s="168">
        <f t="shared" si="13"/>
        <v>1206.1052803521961</v>
      </c>
      <c r="D43" s="168">
        <f t="shared" si="13"/>
        <v>1097.8500058846741</v>
      </c>
      <c r="E43" s="168">
        <f t="shared" si="13"/>
        <v>970.38272384152378</v>
      </c>
      <c r="F43" s="168">
        <f t="shared" si="13"/>
        <v>809.73204004953698</v>
      </c>
      <c r="G43" s="168">
        <f t="shared" si="13"/>
        <v>680.29239003478949</v>
      </c>
      <c r="H43" s="168">
        <f t="shared" si="13"/>
        <v>650.46011595011009</v>
      </c>
      <c r="I43" s="168">
        <f t="shared" si="13"/>
        <v>593.27548159853472</v>
      </c>
      <c r="J43" s="168">
        <f t="shared" si="13"/>
        <v>588.07783658525818</v>
      </c>
      <c r="K43" s="168">
        <f t="shared" si="13"/>
        <v>588.25621843253737</v>
      </c>
      <c r="L43" s="168">
        <f t="shared" si="13"/>
        <v>598.28004140038888</v>
      </c>
      <c r="M43" s="168">
        <f t="shared" si="13"/>
        <v>668.76553104747256</v>
      </c>
      <c r="N43" s="168">
        <f t="shared" si="13"/>
        <v>668.69355284184496</v>
      </c>
      <c r="O43" s="168">
        <f t="shared" si="13"/>
        <v>759.99495014210504</v>
      </c>
    </row>
    <row r="44" spans="1:18" s="155" customFormat="1" ht="16">
      <c r="A44" s="168" t="s">
        <v>208</v>
      </c>
      <c r="B44" s="168">
        <f t="shared" ref="B44:O44" si="14">10^($D$11-$E$11/(T..-273.15+$F$11))</f>
        <v>759.99586963211163</v>
      </c>
      <c r="C44" s="168">
        <f t="shared" si="14"/>
        <v>684.86837840408862</v>
      </c>
      <c r="D44" s="168">
        <f t="shared" si="14"/>
        <v>631.32494899618143</v>
      </c>
      <c r="E44" s="168">
        <f t="shared" si="14"/>
        <v>567.27590934781563</v>
      </c>
      <c r="F44" s="168">
        <f t="shared" si="14"/>
        <v>484.77424529450172</v>
      </c>
      <c r="G44" s="168">
        <f t="shared" si="14"/>
        <v>416.59140440912904</v>
      </c>
      <c r="H44" s="168">
        <f t="shared" si="14"/>
        <v>400.62691034822058</v>
      </c>
      <c r="I44" s="168">
        <f t="shared" si="14"/>
        <v>369.73189911694766</v>
      </c>
      <c r="J44" s="168">
        <f t="shared" si="14"/>
        <v>366.90365908738164</v>
      </c>
      <c r="K44" s="168">
        <f t="shared" si="14"/>
        <v>367.00078116916711</v>
      </c>
      <c r="L44" s="168">
        <f t="shared" si="14"/>
        <v>372.45180856545261</v>
      </c>
      <c r="M44" s="168">
        <f t="shared" si="14"/>
        <v>410.43482236666813</v>
      </c>
      <c r="N44" s="168">
        <f t="shared" si="14"/>
        <v>410.39633155707287</v>
      </c>
      <c r="O44" s="168">
        <f t="shared" si="14"/>
        <v>458.7727497369948</v>
      </c>
    </row>
    <row r="45" spans="1:18" ht="15">
      <c r="A45" s="168" t="s">
        <v>254</v>
      </c>
      <c r="B45" s="168">
        <f t="shared" ref="B45:O45" si="15">x1..*gam1..*P1sat../Pexpt</f>
        <v>0</v>
      </c>
      <c r="C45" s="168">
        <f t="shared" si="15"/>
        <v>0.12170327389226415</v>
      </c>
      <c r="D45" s="168">
        <f t="shared" si="15"/>
        <v>0.20945461254557959</v>
      </c>
      <c r="E45" s="168">
        <f t="shared" si="15"/>
        <v>0.31606815221694556</v>
      </c>
      <c r="F45" s="168">
        <f t="shared" si="15"/>
        <v>0.4578103374498701</v>
      </c>
      <c r="G45" s="168">
        <f t="shared" si="15"/>
        <v>0.5838637083648438</v>
      </c>
      <c r="H45" s="168">
        <f t="shared" si="15"/>
        <v>0.61653194998048066</v>
      </c>
      <c r="I45" s="168">
        <f t="shared" si="15"/>
        <v>0.69585068800872807</v>
      </c>
      <c r="J45" s="168">
        <f t="shared" si="15"/>
        <v>0.7134724174738527</v>
      </c>
      <c r="K45" s="168">
        <f t="shared" si="15"/>
        <v>0.71681038959056209</v>
      </c>
      <c r="L45" s="168">
        <f t="shared" si="15"/>
        <v>0.74072331548304171</v>
      </c>
      <c r="M45" s="168">
        <f t="shared" si="15"/>
        <v>0.85950871311427757</v>
      </c>
      <c r="N45" s="168">
        <f t="shared" si="15"/>
        <v>0.85939512651294026</v>
      </c>
      <c r="O45" s="168">
        <f t="shared" si="15"/>
        <v>0.99999335545013823</v>
      </c>
    </row>
    <row r="46" spans="1:18" ht="15">
      <c r="A46" s="168" t="s">
        <v>255</v>
      </c>
      <c r="B46" s="180">
        <f t="shared" ref="B46:O46" si="16">(1-x1..)*gam2..*P2sat../Pexpt</f>
        <v>0.99999456530541009</v>
      </c>
      <c r="C46" s="180">
        <f t="shared" si="16"/>
        <v>0.87802045124677686</v>
      </c>
      <c r="D46" s="180">
        <f t="shared" si="16"/>
        <v>0.79021482751100003</v>
      </c>
      <c r="E46" s="180">
        <f t="shared" si="16"/>
        <v>0.68371719196162084</v>
      </c>
      <c r="F46" s="180">
        <f t="shared" si="16"/>
        <v>0.54231247118070369</v>
      </c>
      <c r="G46" s="180">
        <f t="shared" si="16"/>
        <v>0.4164254880331088</v>
      </c>
      <c r="H46" s="180">
        <f t="shared" si="16"/>
        <v>0.3837234081571097</v>
      </c>
      <c r="I46" s="180">
        <f t="shared" si="16"/>
        <v>0.30411123072942292</v>
      </c>
      <c r="J46" s="180">
        <f t="shared" si="16"/>
        <v>0.28651400394984555</v>
      </c>
      <c r="K46" s="180">
        <f t="shared" si="16"/>
        <v>0.28306334596128224</v>
      </c>
      <c r="L46" s="180">
        <f t="shared" si="16"/>
        <v>0.25921343967728599</v>
      </c>
      <c r="M46" s="180">
        <f t="shared" si="16"/>
        <v>0.14032803775749597</v>
      </c>
      <c r="N46" s="180">
        <f t="shared" si="16"/>
        <v>0.14044173558464418</v>
      </c>
      <c r="O46" s="180">
        <f t="shared" si="16"/>
        <v>0</v>
      </c>
    </row>
    <row r="47" spans="1:18">
      <c r="A47" s="168" t="s">
        <v>38</v>
      </c>
      <c r="B47" s="168">
        <v>353.24941837176107</v>
      </c>
      <c r="C47" s="168">
        <v>349.90448173018666</v>
      </c>
      <c r="D47" s="168">
        <v>347.34006359568258</v>
      </c>
      <c r="E47" s="168">
        <v>344.03700173529143</v>
      </c>
      <c r="F47" s="168">
        <v>339.31701864409479</v>
      </c>
      <c r="G47" s="168">
        <v>334.9080466170854</v>
      </c>
      <c r="H47" s="168">
        <v>333.79345601344033</v>
      </c>
      <c r="I47" s="168">
        <v>331.53183312834597</v>
      </c>
      <c r="J47" s="168">
        <v>331.31734797112767</v>
      </c>
      <c r="K47" s="168">
        <v>331.3247352723742</v>
      </c>
      <c r="L47" s="168">
        <v>331.7368704736927</v>
      </c>
      <c r="M47" s="168">
        <v>334.4823116229889</v>
      </c>
      <c r="N47" s="168">
        <v>334.47963398826869</v>
      </c>
      <c r="O47" s="168">
        <v>337.69756369680414</v>
      </c>
      <c r="P47" s="156" t="s">
        <v>211</v>
      </c>
    </row>
    <row r="48" spans="1:18" ht="16">
      <c r="A48" s="180" t="s">
        <v>218</v>
      </c>
      <c r="B48" s="168">
        <f t="shared" ref="B48:O48" si="17">(y1..+y2..-1)^2</f>
        <v>2.9535905285618438E-11</v>
      </c>
      <c r="C48" s="168">
        <f t="shared" si="17"/>
        <v>7.6327798797940799E-8</v>
      </c>
      <c r="D48" s="168">
        <f t="shared" si="17"/>
        <v>1.0926987619406492E-7</v>
      </c>
      <c r="E48" s="168">
        <f t="shared" si="17"/>
        <v>4.6077121675307954E-8</v>
      </c>
      <c r="F48" s="168">
        <f t="shared" si="17"/>
        <v>1.5081959743409543E-8</v>
      </c>
      <c r="G48" s="168">
        <f t="shared" si="17"/>
        <v>8.363455658873046E-8</v>
      </c>
      <c r="H48" s="168">
        <f t="shared" si="17"/>
        <v>6.5207778433620729E-8</v>
      </c>
      <c r="I48" s="168">
        <f t="shared" si="17"/>
        <v>1.4501825040128693E-9</v>
      </c>
      <c r="J48" s="168">
        <f t="shared" si="17"/>
        <v>1.8437773438375435E-10</v>
      </c>
      <c r="K48" s="168">
        <f t="shared" si="17"/>
        <v>1.5942710868054938E-8</v>
      </c>
      <c r="L48" s="168">
        <f t="shared" si="17"/>
        <v>3.9999097451671506E-9</v>
      </c>
      <c r="M48" s="168">
        <f t="shared" si="17"/>
        <v>2.665027786668152E-8</v>
      </c>
      <c r="N48" s="168">
        <f t="shared" si="17"/>
        <v>2.6613975204569036E-8</v>
      </c>
      <c r="O48" s="168">
        <f t="shared" si="17"/>
        <v>4.4150042865512164E-11</v>
      </c>
      <c r="P48" s="180">
        <f>SUM(B48:O48)</f>
        <v>4.705142113040947E-7</v>
      </c>
    </row>
    <row r="49" spans="1:16">
      <c r="A49" s="157"/>
      <c r="B49" s="155"/>
      <c r="C49" s="155"/>
      <c r="D49" s="155"/>
    </row>
    <row r="50" spans="1:16">
      <c r="A50" s="157"/>
      <c r="B50" s="155"/>
      <c r="C50" s="155"/>
      <c r="D50" s="155"/>
    </row>
    <row r="51" spans="1:16">
      <c r="A51" s="157"/>
      <c r="B51" s="155"/>
      <c r="C51" s="155"/>
      <c r="D51" s="155"/>
    </row>
    <row r="52" spans="1:16" ht="15">
      <c r="A52" s="156" t="s">
        <v>223</v>
      </c>
    </row>
    <row r="53" spans="1:16">
      <c r="A53" s="156" t="s">
        <v>306</v>
      </c>
    </row>
    <row r="54" spans="1:16" ht="16">
      <c r="A54" s="171" t="s">
        <v>205</v>
      </c>
      <c r="B54" s="171">
        <f>10^($D$10-$E$10/(58.3+$F$10))</f>
        <v>591.28789496549302</v>
      </c>
      <c r="D54" s="172" t="s">
        <v>206</v>
      </c>
      <c r="E54" s="156">
        <f>$I$13/B54</f>
        <v>1.2853298815534737</v>
      </c>
      <c r="G54" s="156" t="s">
        <v>221</v>
      </c>
      <c r="H54" s="156">
        <f>LN(E54)*(1+0.386*LN(E55)/0.614/LN(E54))^2</f>
        <v>1.9847477282664872</v>
      </c>
    </row>
    <row r="55" spans="1:16" ht="16">
      <c r="A55" s="171" t="s">
        <v>208</v>
      </c>
      <c r="B55" s="171">
        <f>10^($D$11-$E$11/(58.3+$F$11))</f>
        <v>368.65078598834526</v>
      </c>
      <c r="D55" s="182" t="s">
        <v>207</v>
      </c>
      <c r="E55" s="156">
        <f>$I$13/B55</f>
        <v>2.0615716251966085</v>
      </c>
      <c r="G55" s="156" t="s">
        <v>222</v>
      </c>
      <c r="H55" s="156">
        <f>LN(E55)*(1+0.614*LN(E54)/0.386/LN(E55))^2</f>
        <v>1.7424010368337413</v>
      </c>
    </row>
    <row r="56" spans="1:16" ht="15">
      <c r="A56" s="168" t="s">
        <v>52</v>
      </c>
      <c r="B56" s="168">
        <f>B$14</f>
        <v>0</v>
      </c>
      <c r="C56" s="168">
        <f t="shared" ref="C56:O56" si="18">C$14</f>
        <v>2.5999999999999999E-2</v>
      </c>
      <c r="D56" s="168">
        <f t="shared" si="18"/>
        <v>0.05</v>
      </c>
      <c r="E56" s="168">
        <f t="shared" si="18"/>
        <v>8.7999999999999995E-2</v>
      </c>
      <c r="F56" s="168">
        <f t="shared" si="18"/>
        <v>0.16400000000000001</v>
      </c>
      <c r="G56" s="168">
        <f t="shared" si="18"/>
        <v>0.28420941450762771</v>
      </c>
      <c r="H56" s="168">
        <f t="shared" si="18"/>
        <v>0.33300000000000002</v>
      </c>
      <c r="I56" s="168">
        <f t="shared" si="18"/>
        <v>0.54900000000000004</v>
      </c>
      <c r="J56" s="168">
        <f t="shared" si="18"/>
        <v>0.69899999999999995</v>
      </c>
      <c r="K56" s="168">
        <f t="shared" si="18"/>
        <v>0.78200000000000003</v>
      </c>
      <c r="L56" s="168">
        <f t="shared" si="18"/>
        <v>0.89800000000000002</v>
      </c>
      <c r="M56" s="168">
        <f t="shared" si="18"/>
        <v>0.97303263263832951</v>
      </c>
      <c r="N56" s="168">
        <f t="shared" si="18"/>
        <v>0.97299999999999998</v>
      </c>
      <c r="O56" s="168">
        <f t="shared" si="18"/>
        <v>1</v>
      </c>
    </row>
    <row r="57" spans="1:16" s="155" customFormat="1" ht="15">
      <c r="A57" s="170" t="s">
        <v>206</v>
      </c>
      <c r="B57" s="168">
        <f t="shared" ref="B57:N57" si="19">EXP(A12./(1+A12.*x1.../A21./(1-x1...))^2)</f>
        <v>7.2772113191547136</v>
      </c>
      <c r="C57" s="168">
        <f t="shared" si="19"/>
        <v>6.4840024517424126</v>
      </c>
      <c r="D57" s="168">
        <f t="shared" si="19"/>
        <v>5.8508002076926235</v>
      </c>
      <c r="E57" s="168">
        <f t="shared" si="19"/>
        <v>5.0084239724870185</v>
      </c>
      <c r="F57" s="168">
        <f t="shared" si="19"/>
        <v>3.765766345079907</v>
      </c>
      <c r="G57" s="168">
        <f t="shared" si="19"/>
        <v>2.5626179304021774</v>
      </c>
      <c r="H57" s="168">
        <f t="shared" si="19"/>
        <v>2.2401650739555361</v>
      </c>
      <c r="I57" s="168">
        <f t="shared" si="19"/>
        <v>1.4168736551588292</v>
      </c>
      <c r="J57" s="168">
        <f t="shared" si="19"/>
        <v>1.1610967777970596</v>
      </c>
      <c r="K57" s="168">
        <f t="shared" si="19"/>
        <v>1.0797453153886609</v>
      </c>
      <c r="L57" s="168">
        <f t="shared" si="19"/>
        <v>1.0164522574417065</v>
      </c>
      <c r="M57" s="168">
        <f t="shared" si="19"/>
        <v>1.001120407616868</v>
      </c>
      <c r="N57" s="168">
        <f t="shared" si="19"/>
        <v>1.0011231313284745</v>
      </c>
      <c r="O57" s="168">
        <v>1</v>
      </c>
    </row>
    <row r="58" spans="1:16" s="155" customFormat="1" ht="15">
      <c r="A58" s="170" t="s">
        <v>207</v>
      </c>
      <c r="B58" s="168">
        <v>1</v>
      </c>
      <c r="C58" s="168">
        <f t="shared" ref="C58:O58" si="20">EXP(A21./(1+A21.*(1-x1...)/A12./x1...)^2)</f>
        <v>1.0015184598952696</v>
      </c>
      <c r="D58" s="168">
        <f t="shared" si="20"/>
        <v>1.0055897695292455</v>
      </c>
      <c r="E58" s="168">
        <f t="shared" si="20"/>
        <v>1.0172336288063357</v>
      </c>
      <c r="F58" s="168">
        <f t="shared" si="20"/>
        <v>1.0598470384682945</v>
      </c>
      <c r="G58" s="168">
        <f t="shared" si="20"/>
        <v>1.1841102875665144</v>
      </c>
      <c r="H58" s="168">
        <f t="shared" si="20"/>
        <v>1.2573351218125117</v>
      </c>
      <c r="I58" s="168">
        <f t="shared" si="20"/>
        <v>1.8006654529984316</v>
      </c>
      <c r="J58" s="168">
        <f t="shared" si="20"/>
        <v>2.5031386296224936</v>
      </c>
      <c r="K58" s="168">
        <f t="shared" si="20"/>
        <v>3.0789661047789907</v>
      </c>
      <c r="L58" s="168">
        <f t="shared" si="20"/>
        <v>4.2238356204819549</v>
      </c>
      <c r="M58" s="168">
        <f t="shared" si="20"/>
        <v>5.2625225133394347</v>
      </c>
      <c r="N58" s="168">
        <f t="shared" si="20"/>
        <v>5.2620062565631978</v>
      </c>
      <c r="O58" s="168">
        <f t="shared" si="20"/>
        <v>5.7110393897652871</v>
      </c>
    </row>
    <row r="59" spans="1:16" s="155" customFormat="1" ht="16">
      <c r="A59" s="168" t="s">
        <v>205</v>
      </c>
      <c r="B59" s="168">
        <f t="shared" ref="B59:O59" si="21">10^($D$10-$E$10/(T...-273.15+$F$10))</f>
        <v>1360.4232348650316</v>
      </c>
      <c r="C59" s="168">
        <f t="shared" si="21"/>
        <v>1035.6253453081144</v>
      </c>
      <c r="D59" s="168">
        <f t="shared" si="21"/>
        <v>885.7866648244277</v>
      </c>
      <c r="E59" s="168">
        <f t="shared" si="21"/>
        <v>759.28573583478362</v>
      </c>
      <c r="F59" s="168">
        <f t="shared" si="21"/>
        <v>653.48234058313574</v>
      </c>
      <c r="G59" s="168">
        <f t="shared" si="21"/>
        <v>605.45832207589194</v>
      </c>
      <c r="H59" s="168">
        <f t="shared" si="21"/>
        <v>599.36879850224261</v>
      </c>
      <c r="I59" s="168">
        <f t="shared" si="21"/>
        <v>591.83754984522716</v>
      </c>
      <c r="J59" s="168">
        <f t="shared" si="21"/>
        <v>593.20682427219344</v>
      </c>
      <c r="K59" s="168">
        <f t="shared" si="21"/>
        <v>602.27973807602882</v>
      </c>
      <c r="L59" s="168">
        <f t="shared" si="21"/>
        <v>644.90992103282792</v>
      </c>
      <c r="M59" s="168">
        <f t="shared" si="21"/>
        <v>716.65308797156149</v>
      </c>
      <c r="N59" s="168">
        <f t="shared" si="21"/>
        <v>716.60802157779449</v>
      </c>
      <c r="O59" s="168">
        <f t="shared" si="21"/>
        <v>759.99495014215165</v>
      </c>
    </row>
    <row r="60" spans="1:16" s="155" customFormat="1" ht="16">
      <c r="A60" s="168" t="s">
        <v>208</v>
      </c>
      <c r="B60" s="168">
        <f t="shared" ref="B60:O60" si="22">10^($D$11-$E$11/(T...-273.15+$F$11))</f>
        <v>759.99586967310381</v>
      </c>
      <c r="C60" s="168">
        <f t="shared" si="22"/>
        <v>600.20201223828894</v>
      </c>
      <c r="D60" s="168">
        <f t="shared" si="22"/>
        <v>524.09953494055219</v>
      </c>
      <c r="E60" s="168">
        <f t="shared" si="22"/>
        <v>458.40026974196724</v>
      </c>
      <c r="F60" s="168">
        <f t="shared" si="22"/>
        <v>402.24884415405177</v>
      </c>
      <c r="G60" s="168">
        <f t="shared" si="22"/>
        <v>376.34756987865688</v>
      </c>
      <c r="H60" s="168">
        <f t="shared" si="22"/>
        <v>373.04311163833518</v>
      </c>
      <c r="I60" s="168">
        <f t="shared" si="22"/>
        <v>368.9498118320127</v>
      </c>
      <c r="J60" s="168">
        <f t="shared" si="22"/>
        <v>369.694562595582</v>
      </c>
      <c r="K60" s="168">
        <f t="shared" si="22"/>
        <v>374.62330479961082</v>
      </c>
      <c r="L60" s="168">
        <f t="shared" si="22"/>
        <v>397.64553130573444</v>
      </c>
      <c r="M60" s="168">
        <f t="shared" si="22"/>
        <v>435.91689824134147</v>
      </c>
      <c r="N60" s="168">
        <f t="shared" si="22"/>
        <v>435.89303287897934</v>
      </c>
      <c r="O60" s="168">
        <f t="shared" si="22"/>
        <v>458.77274973701924</v>
      </c>
    </row>
    <row r="61" spans="1:16" ht="15">
      <c r="A61" s="168" t="s">
        <v>254</v>
      </c>
      <c r="B61" s="168">
        <f t="shared" ref="B61:O61" si="23">x1...*gam1...*P1sat.../Pexpt</f>
        <v>0</v>
      </c>
      <c r="C61" s="168">
        <f t="shared" si="23"/>
        <v>0.22972359109167673</v>
      </c>
      <c r="D61" s="168">
        <f t="shared" si="23"/>
        <v>0.34095794753461306</v>
      </c>
      <c r="E61" s="168">
        <f t="shared" si="23"/>
        <v>0.44032709152153826</v>
      </c>
      <c r="F61" s="168">
        <f t="shared" si="23"/>
        <v>0.53102807376922501</v>
      </c>
      <c r="G61" s="168">
        <f t="shared" si="23"/>
        <v>0.58022038272507581</v>
      </c>
      <c r="H61" s="168">
        <f t="shared" si="23"/>
        <v>0.58830805428710253</v>
      </c>
      <c r="I61" s="168">
        <f t="shared" si="23"/>
        <v>0.60574856427327572</v>
      </c>
      <c r="J61" s="168">
        <f t="shared" si="23"/>
        <v>0.6334876342480783</v>
      </c>
      <c r="K61" s="168">
        <f t="shared" si="23"/>
        <v>0.66913345201255481</v>
      </c>
      <c r="L61" s="168">
        <f t="shared" si="23"/>
        <v>0.774548803002859</v>
      </c>
      <c r="M61" s="168">
        <f t="shared" si="23"/>
        <v>0.91856333050173999</v>
      </c>
      <c r="N61" s="168">
        <f t="shared" si="23"/>
        <v>0.91847726197584723</v>
      </c>
      <c r="O61" s="168">
        <f t="shared" si="23"/>
        <v>0.99999335545019952</v>
      </c>
    </row>
    <row r="62" spans="1:16" ht="15">
      <c r="A62" s="168" t="s">
        <v>255</v>
      </c>
      <c r="B62" s="180">
        <f t="shared" ref="B62:O62" si="24">(1-x1...)*gam2...*P2sat.../Pexpt</f>
        <v>0.99999456535934717</v>
      </c>
      <c r="C62" s="180">
        <f t="shared" si="24"/>
        <v>0.77037427191439034</v>
      </c>
      <c r="D62" s="180">
        <f t="shared" si="24"/>
        <v>0.65878641318906828</v>
      </c>
      <c r="E62" s="180">
        <f t="shared" si="24"/>
        <v>0.55956020380250937</v>
      </c>
      <c r="F62" s="180">
        <f t="shared" si="24"/>
        <v>0.46895447082436292</v>
      </c>
      <c r="G62" s="180">
        <f t="shared" si="24"/>
        <v>0.41971419742610122</v>
      </c>
      <c r="H62" s="180">
        <f t="shared" si="24"/>
        <v>0.41164449676860626</v>
      </c>
      <c r="I62" s="180">
        <f t="shared" si="24"/>
        <v>0.39424235027017879</v>
      </c>
      <c r="J62" s="180">
        <f t="shared" si="24"/>
        <v>0.36650581444620017</v>
      </c>
      <c r="K62" s="180">
        <f t="shared" si="24"/>
        <v>0.33085873124124637</v>
      </c>
      <c r="L62" s="180">
        <f t="shared" si="24"/>
        <v>0.22541857192680603</v>
      </c>
      <c r="M62" s="180">
        <f t="shared" si="24"/>
        <v>8.1399667433049439E-2</v>
      </c>
      <c r="N62" s="180">
        <f t="shared" si="24"/>
        <v>8.1485711036105885E-2</v>
      </c>
      <c r="O62" s="180">
        <f t="shared" si="24"/>
        <v>0</v>
      </c>
    </row>
    <row r="63" spans="1:16">
      <c r="A63" s="168" t="s">
        <v>38</v>
      </c>
      <c r="B63" s="168">
        <v>353.249418373514</v>
      </c>
      <c r="C63" s="168">
        <v>345.76977056227628</v>
      </c>
      <c r="D63" s="168">
        <v>341.64014571246003</v>
      </c>
      <c r="E63" s="168">
        <v>337.67384081078308</v>
      </c>
      <c r="F63" s="168">
        <v>333.90829254682114</v>
      </c>
      <c r="G63" s="168">
        <v>332.02847564692098</v>
      </c>
      <c r="H63" s="168">
        <v>331.78128690905118</v>
      </c>
      <c r="I63" s="168">
        <v>331.47265343586326</v>
      </c>
      <c r="J63" s="168">
        <v>331.52901018785423</v>
      </c>
      <c r="K63" s="168">
        <v>331.89970980015408</v>
      </c>
      <c r="L63" s="168">
        <v>333.58139769958552</v>
      </c>
      <c r="M63" s="168">
        <v>336.21267934497672</v>
      </c>
      <c r="N63" s="168">
        <v>336.21109686608173</v>
      </c>
      <c r="O63" s="168">
        <v>337.69756369680567</v>
      </c>
      <c r="P63" s="156" t="s">
        <v>211</v>
      </c>
    </row>
    <row r="64" spans="1:16" ht="16">
      <c r="A64" s="180" t="s">
        <v>218</v>
      </c>
      <c r="B64" s="168">
        <f t="shared" ref="B64:O64" si="25">(y1...+y2...-1)^2</f>
        <v>2.9535319025446222E-11</v>
      </c>
      <c r="C64" s="168">
        <f t="shared" si="25"/>
        <v>9.5771679564828131E-9</v>
      </c>
      <c r="D64" s="168">
        <f t="shared" si="25"/>
        <v>6.5351439596730415E-8</v>
      </c>
      <c r="E64" s="168">
        <f t="shared" si="25"/>
        <v>1.2702343981528427E-8</v>
      </c>
      <c r="F64" s="168">
        <f t="shared" si="25"/>
        <v>3.0469121301054206E-10</v>
      </c>
      <c r="G64" s="168">
        <f t="shared" si="25"/>
        <v>4.279756620027167E-9</v>
      </c>
      <c r="H64" s="168">
        <f t="shared" si="25"/>
        <v>2.2514023143499965E-9</v>
      </c>
      <c r="I64" s="168">
        <f t="shared" si="25"/>
        <v>8.2545520640957054E-11</v>
      </c>
      <c r="J64" s="168">
        <f t="shared" si="25"/>
        <v>4.2919606656158311E-11</v>
      </c>
      <c r="K64" s="168">
        <f t="shared" si="25"/>
        <v>6.1101521135880022E-11</v>
      </c>
      <c r="L64" s="168">
        <f t="shared" si="25"/>
        <v>1.0643952143616364E-9</v>
      </c>
      <c r="M64" s="168">
        <f t="shared" si="25"/>
        <v>1.3691528298429719E-9</v>
      </c>
      <c r="N64" s="168">
        <f t="shared" si="25"/>
        <v>1.3709978438224695E-9</v>
      </c>
      <c r="O64" s="168">
        <f t="shared" si="25"/>
        <v>4.4150042051098846E-11</v>
      </c>
      <c r="P64" s="180">
        <f>SUM(B64:O64)</f>
        <v>9.8531599579665978E-8</v>
      </c>
    </row>
    <row r="65" spans="1:16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</row>
    <row r="66" spans="1:16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spans="1:16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</row>
    <row r="68" spans="1:16">
      <c r="A68" s="155"/>
      <c r="B68" s="159"/>
      <c r="C68" s="158"/>
      <c r="D68" s="158"/>
      <c r="E68" s="158"/>
      <c r="F68" s="158"/>
    </row>
    <row r="69" spans="1:16">
      <c r="A69" s="157"/>
      <c r="B69" s="155"/>
      <c r="C69" s="155"/>
      <c r="D69" s="155"/>
      <c r="E69" s="155"/>
      <c r="F69" s="155"/>
    </row>
    <row r="70" spans="1:16">
      <c r="B70" s="155"/>
      <c r="C70" s="155"/>
    </row>
    <row r="73" spans="1:16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spans="1:16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spans="1:16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8" spans="1:16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spans="1:16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spans="1:16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3" spans="2:10">
      <c r="B83" s="155"/>
      <c r="C83" s="155"/>
      <c r="D83" s="155"/>
      <c r="E83" s="155"/>
      <c r="F83" s="155"/>
      <c r="G83" s="155"/>
      <c r="H83" s="155"/>
      <c r="I83" s="155"/>
      <c r="J83" s="155"/>
    </row>
    <row r="84" spans="2:10">
      <c r="B84" s="155"/>
      <c r="C84" s="155"/>
      <c r="D84" s="155"/>
      <c r="E84" s="155"/>
      <c r="F84" s="155"/>
      <c r="G84" s="155"/>
      <c r="H84" s="155"/>
      <c r="I84" s="155"/>
      <c r="J84" s="155"/>
    </row>
    <row r="85" spans="2:10">
      <c r="B85" s="155"/>
      <c r="C85" s="155"/>
      <c r="D85" s="155"/>
      <c r="E85" s="155"/>
      <c r="F85" s="155"/>
      <c r="G85" s="155"/>
      <c r="H85" s="155"/>
      <c r="I85" s="155"/>
      <c r="J85" s="155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180" verticalDpi="18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28"/>
  <sheetViews>
    <sheetView workbookViewId="0">
      <selection activeCell="A2" sqref="A2"/>
    </sheetView>
  </sheetViews>
  <sheetFormatPr baseColWidth="10" defaultColWidth="8" defaultRowHeight="13"/>
  <cols>
    <col min="1" max="16384" width="8" style="263"/>
  </cols>
  <sheetData>
    <row r="1" spans="2:7">
      <c r="B1" s="263" t="s">
        <v>331</v>
      </c>
      <c r="F1" s="263" t="s">
        <v>330</v>
      </c>
    </row>
    <row r="2" spans="2:7" ht="15">
      <c r="C2" s="264" t="s">
        <v>335</v>
      </c>
      <c r="D2" s="279">
        <v>200</v>
      </c>
      <c r="F2" s="264" t="s">
        <v>338</v>
      </c>
      <c r="G2" s="263">
        <f>D2/D5</f>
        <v>0.67080328693610602</v>
      </c>
    </row>
    <row r="3" spans="2:7" ht="15">
      <c r="C3" s="264" t="s">
        <v>336</v>
      </c>
      <c r="D3" s="279">
        <v>200</v>
      </c>
      <c r="F3" s="264" t="s">
        <v>339</v>
      </c>
      <c r="G3" s="263">
        <f>D3/D5</f>
        <v>0.67080328693610602</v>
      </c>
    </row>
    <row r="4" spans="2:7" ht="15">
      <c r="C4" s="264" t="s">
        <v>337</v>
      </c>
      <c r="D4" s="279">
        <v>0.2</v>
      </c>
      <c r="F4" s="269" t="s">
        <v>340</v>
      </c>
      <c r="G4" s="263">
        <f>EXP(-D4*G2)</f>
        <v>0.87444956653499373</v>
      </c>
    </row>
    <row r="5" spans="2:7" ht="15">
      <c r="C5" s="280" t="s">
        <v>332</v>
      </c>
      <c r="D5" s="279">
        <v>298.14999999999998</v>
      </c>
      <c r="F5" s="269" t="s">
        <v>341</v>
      </c>
      <c r="G5" s="263">
        <f>EXP(-D4*G3)</f>
        <v>0.87444956653499373</v>
      </c>
    </row>
    <row r="7" spans="2:7">
      <c r="B7" s="263" t="s">
        <v>28</v>
      </c>
      <c r="C7" s="280" t="s">
        <v>29</v>
      </c>
      <c r="D7" s="264" t="s">
        <v>333</v>
      </c>
      <c r="E7" s="264" t="s">
        <v>334</v>
      </c>
    </row>
    <row r="8" spans="2:7">
      <c r="B8" s="263">
        <v>0</v>
      </c>
      <c r="C8" s="263">
        <f t="shared" ref="C8:C28" si="0">1-x1.</f>
        <v>1</v>
      </c>
      <c r="D8" s="263">
        <f t="shared" ref="D8:D28" si="1">EXP(x2.^2*(t21.*(g21./(x1.+x2.*g21.))^2+t12.*g12./(x2.+x1.*g12.)^2))</f>
        <v>3.5162213412928449</v>
      </c>
      <c r="E8" s="263">
        <f t="shared" ref="E8:E28" si="2">EXP(x1.^2*(t12.*(g12./(x2.+x1.*g12.))^2+t21.*g21./(x1.+x2.*g21.)^2))</f>
        <v>1</v>
      </c>
    </row>
    <row r="9" spans="2:7">
      <c r="B9" s="263">
        <v>0.05</v>
      </c>
      <c r="C9" s="263">
        <f t="shared" si="0"/>
        <v>0.95</v>
      </c>
      <c r="D9" s="263">
        <f t="shared" si="1"/>
        <v>3.1046529659059239</v>
      </c>
      <c r="E9" s="263">
        <f t="shared" si="2"/>
        <v>1.0031942340335018</v>
      </c>
    </row>
    <row r="10" spans="2:7">
      <c r="B10" s="263">
        <v>0.1</v>
      </c>
      <c r="C10" s="263">
        <f t="shared" si="0"/>
        <v>0.9</v>
      </c>
      <c r="D10" s="263">
        <f t="shared" si="1"/>
        <v>2.7603839063313402</v>
      </c>
      <c r="E10" s="263">
        <f t="shared" si="2"/>
        <v>1.0127973627769944</v>
      </c>
    </row>
    <row r="11" spans="2:7">
      <c r="B11" s="263">
        <v>0.15</v>
      </c>
      <c r="C11" s="263">
        <f t="shared" si="0"/>
        <v>0.85</v>
      </c>
      <c r="D11" s="263">
        <f t="shared" si="1"/>
        <v>2.4711096386763343</v>
      </c>
      <c r="E11" s="263">
        <f t="shared" si="2"/>
        <v>1.0289392124028436</v>
      </c>
    </row>
    <row r="12" spans="2:7">
      <c r="B12" s="263">
        <v>0.2</v>
      </c>
      <c r="C12" s="263">
        <f t="shared" si="0"/>
        <v>0.8</v>
      </c>
      <c r="D12" s="263">
        <f t="shared" si="1"/>
        <v>2.2270606035492984</v>
      </c>
      <c r="E12" s="263">
        <f t="shared" si="2"/>
        <v>1.0518847098044506</v>
      </c>
    </row>
    <row r="13" spans="2:7">
      <c r="B13" s="263">
        <v>0.25</v>
      </c>
      <c r="C13" s="263">
        <f t="shared" si="0"/>
        <v>0.75</v>
      </c>
      <c r="D13" s="263">
        <f t="shared" si="1"/>
        <v>2.0204387704530311</v>
      </c>
      <c r="E13" s="263">
        <f t="shared" si="2"/>
        <v>1.0820415919629587</v>
      </c>
    </row>
    <row r="14" spans="2:7">
      <c r="B14" s="263">
        <v>0.3</v>
      </c>
      <c r="C14" s="263">
        <f t="shared" si="0"/>
        <v>0.7</v>
      </c>
      <c r="D14" s="263">
        <f t="shared" si="1"/>
        <v>1.844989098095063</v>
      </c>
      <c r="E14" s="263">
        <f t="shared" si="2"/>
        <v>1.1199733985402323</v>
      </c>
    </row>
    <row r="15" spans="2:7">
      <c r="B15" s="263">
        <v>0.35</v>
      </c>
      <c r="C15" s="263">
        <f t="shared" si="0"/>
        <v>0.65</v>
      </c>
      <c r="D15" s="263">
        <f t="shared" si="1"/>
        <v>1.6956717176001468</v>
      </c>
      <c r="E15" s="263">
        <f t="shared" si="2"/>
        <v>1.1664183649555311</v>
      </c>
    </row>
    <row r="16" spans="2:7">
      <c r="B16" s="263">
        <v>0.4</v>
      </c>
      <c r="C16" s="263">
        <f t="shared" si="0"/>
        <v>0.6</v>
      </c>
      <c r="D16" s="263">
        <f t="shared" si="1"/>
        <v>1.5684098079557436</v>
      </c>
      <c r="E16" s="263">
        <f t="shared" si="2"/>
        <v>1.2223151617814934</v>
      </c>
    </row>
    <row r="17" spans="2:5">
      <c r="B17" s="263">
        <v>0.45</v>
      </c>
      <c r="C17" s="263">
        <f t="shared" si="0"/>
        <v>0.55000000000000004</v>
      </c>
      <c r="D17" s="263">
        <f t="shared" si="1"/>
        <v>1.4598947180787383</v>
      </c>
      <c r="E17" s="263">
        <f t="shared" si="2"/>
        <v>1.288836819377158</v>
      </c>
    </row>
    <row r="18" spans="2:5">
      <c r="B18" s="263">
        <v>0.5</v>
      </c>
      <c r="C18" s="263">
        <f t="shared" si="0"/>
        <v>0.5</v>
      </c>
      <c r="D18" s="263">
        <f t="shared" si="1"/>
        <v>1.3674346645894071</v>
      </c>
      <c r="E18" s="263">
        <f t="shared" si="2"/>
        <v>1.3674346645894071</v>
      </c>
    </row>
    <row r="19" spans="2:5">
      <c r="B19" s="263">
        <v>0.55000000000000004</v>
      </c>
      <c r="C19" s="263">
        <f t="shared" si="0"/>
        <v>0.44999999999999996</v>
      </c>
      <c r="D19" s="263">
        <f t="shared" si="1"/>
        <v>1.288836819377158</v>
      </c>
      <c r="E19" s="263">
        <f t="shared" si="2"/>
        <v>1.4598947180787383</v>
      </c>
    </row>
    <row r="20" spans="2:5">
      <c r="B20" s="263">
        <v>0.6</v>
      </c>
      <c r="C20" s="263">
        <f t="shared" si="0"/>
        <v>0.4</v>
      </c>
      <c r="D20" s="263">
        <f t="shared" si="1"/>
        <v>1.2223151617814934</v>
      </c>
      <c r="E20" s="263">
        <f t="shared" si="2"/>
        <v>1.5684098079557436</v>
      </c>
    </row>
    <row r="21" spans="2:5">
      <c r="B21" s="263">
        <v>0.65</v>
      </c>
      <c r="C21" s="263">
        <f t="shared" si="0"/>
        <v>0.35</v>
      </c>
      <c r="D21" s="263">
        <f t="shared" si="1"/>
        <v>1.1664183649555311</v>
      </c>
      <c r="E21" s="263">
        <f t="shared" si="2"/>
        <v>1.6956717176001468</v>
      </c>
    </row>
    <row r="22" spans="2:5">
      <c r="B22" s="263">
        <v>0.7</v>
      </c>
      <c r="C22" s="263">
        <f t="shared" si="0"/>
        <v>0.30000000000000004</v>
      </c>
      <c r="D22" s="263">
        <f t="shared" si="1"/>
        <v>1.1199733985402323</v>
      </c>
      <c r="E22" s="263">
        <f t="shared" si="2"/>
        <v>1.844989098095063</v>
      </c>
    </row>
    <row r="23" spans="2:5">
      <c r="B23" s="263">
        <v>0.75</v>
      </c>
      <c r="C23" s="263">
        <f t="shared" si="0"/>
        <v>0.25</v>
      </c>
      <c r="D23" s="263">
        <f t="shared" si="1"/>
        <v>1.0820415919629587</v>
      </c>
      <c r="E23" s="263">
        <f t="shared" si="2"/>
        <v>2.0204387704530311</v>
      </c>
    </row>
    <row r="24" spans="2:5">
      <c r="B24" s="263">
        <v>0.8</v>
      </c>
      <c r="C24" s="263">
        <f t="shared" si="0"/>
        <v>0.19999999999999996</v>
      </c>
      <c r="D24" s="263">
        <f t="shared" si="1"/>
        <v>1.0518847098044506</v>
      </c>
      <c r="E24" s="263">
        <f t="shared" si="2"/>
        <v>2.2270606035492984</v>
      </c>
    </row>
    <row r="25" spans="2:5">
      <c r="B25" s="263">
        <v>0.85</v>
      </c>
      <c r="C25" s="263">
        <f t="shared" si="0"/>
        <v>0.15000000000000002</v>
      </c>
      <c r="D25" s="263">
        <f t="shared" si="1"/>
        <v>1.0289392124028436</v>
      </c>
      <c r="E25" s="263">
        <f t="shared" si="2"/>
        <v>2.4711096386763343</v>
      </c>
    </row>
    <row r="26" spans="2:5">
      <c r="B26" s="263">
        <v>0.9</v>
      </c>
      <c r="C26" s="263">
        <f t="shared" si="0"/>
        <v>9.9999999999999978E-2</v>
      </c>
      <c r="D26" s="263">
        <f t="shared" si="1"/>
        <v>1.0127973627769944</v>
      </c>
      <c r="E26" s="263">
        <f t="shared" si="2"/>
        <v>2.7603839063313402</v>
      </c>
    </row>
    <row r="27" spans="2:5">
      <c r="B27" s="263">
        <v>0.95</v>
      </c>
      <c r="C27" s="263">
        <f t="shared" si="0"/>
        <v>5.0000000000000044E-2</v>
      </c>
      <c r="D27" s="263">
        <f t="shared" si="1"/>
        <v>1.0031942340335018</v>
      </c>
      <c r="E27" s="263">
        <f t="shared" si="2"/>
        <v>3.1046529659059239</v>
      </c>
    </row>
    <row r="28" spans="2:5">
      <c r="B28" s="263">
        <v>1</v>
      </c>
      <c r="C28" s="263">
        <f t="shared" si="0"/>
        <v>0</v>
      </c>
      <c r="D28" s="263">
        <f t="shared" si="1"/>
        <v>1</v>
      </c>
      <c r="E28" s="263">
        <f t="shared" si="2"/>
        <v>3.5162213412928449</v>
      </c>
    </row>
  </sheetData>
  <sheetProtection sheet="1" objects="1" scenarios="1"/>
  <phoneticPr fontId="39" type="noConversion"/>
  <pageMargins left="0.75" right="0.75" top="1" bottom="1" header="0.5" footer="0.5"/>
  <pageSetup orientation="landscape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N38"/>
  <sheetViews>
    <sheetView workbookViewId="0"/>
  </sheetViews>
  <sheetFormatPr baseColWidth="10" defaultColWidth="8" defaultRowHeight="13"/>
  <cols>
    <col min="1" max="16384" width="8" style="263"/>
  </cols>
  <sheetData>
    <row r="1" spans="2:14">
      <c r="B1" s="263" t="s">
        <v>311</v>
      </c>
    </row>
    <row r="2" spans="2:14">
      <c r="B2" s="263" t="s">
        <v>312</v>
      </c>
    </row>
    <row r="3" spans="2:14" ht="15">
      <c r="B3" s="264" t="s">
        <v>342</v>
      </c>
    </row>
    <row r="5" spans="2:14">
      <c r="B5" s="265" t="s">
        <v>38</v>
      </c>
      <c r="C5" s="266">
        <v>298.14999999999998</v>
      </c>
    </row>
    <row r="6" spans="2:14">
      <c r="B6" s="265" t="s">
        <v>80</v>
      </c>
      <c r="C6" s="266" t="s">
        <v>313</v>
      </c>
      <c r="D6" s="266" t="s">
        <v>132</v>
      </c>
      <c r="E6" s="266" t="s">
        <v>314</v>
      </c>
      <c r="F6" s="266" t="s">
        <v>169</v>
      </c>
      <c r="G6" s="266" t="s">
        <v>315</v>
      </c>
    </row>
    <row r="7" spans="2:14">
      <c r="B7" s="265" t="s">
        <v>85</v>
      </c>
      <c r="C7" s="267">
        <v>0.2</v>
      </c>
      <c r="D7" s="267">
        <v>0.2</v>
      </c>
      <c r="E7" s="267">
        <v>0.2</v>
      </c>
      <c r="F7" s="267">
        <v>0.2</v>
      </c>
      <c r="G7" s="267">
        <v>0.2</v>
      </c>
      <c r="H7" s="263" t="str">
        <f>IF(ABS(SUM(C7:G7)-1)&gt;0.001,"x values don't sum to 1","")</f>
        <v/>
      </c>
    </row>
    <row r="8" spans="2:14">
      <c r="B8" s="265" t="s">
        <v>316</v>
      </c>
      <c r="C8" s="265">
        <f>EXP(J38)</f>
        <v>0.90684328143474213</v>
      </c>
      <c r="D8" s="265">
        <f>EXP(K38)</f>
        <v>0.92859523066618377</v>
      </c>
      <c r="E8" s="265">
        <f>EXP(L38)</f>
        <v>1.7827906345419113</v>
      </c>
      <c r="F8" s="265">
        <f>EXP(M38)</f>
        <v>2.4821655072876525</v>
      </c>
      <c r="G8" s="265">
        <f>EXP(N38)</f>
        <v>0.8235660246702291</v>
      </c>
    </row>
    <row r="9" spans="2:14">
      <c r="I9" s="269" t="s">
        <v>330</v>
      </c>
    </row>
    <row r="10" spans="2:14">
      <c r="B10" s="263" t="s">
        <v>317</v>
      </c>
      <c r="C10" s="263" t="str">
        <f>C6</f>
        <v>HAc</v>
      </c>
      <c r="D10" s="263" t="str">
        <f>D6</f>
        <v>EtOH</v>
      </c>
      <c r="E10" s="263" t="str">
        <f>E6</f>
        <v>EtAc</v>
      </c>
      <c r="F10" s="263" t="str">
        <f>F6</f>
        <v>H2O</v>
      </c>
      <c r="G10" s="263" t="str">
        <f>G6</f>
        <v>PropAcid</v>
      </c>
    </row>
    <row r="11" spans="2:14">
      <c r="B11" s="263" t="str">
        <f>C6</f>
        <v>HAc</v>
      </c>
      <c r="C11" s="268">
        <v>0</v>
      </c>
      <c r="D11" s="266">
        <v>0</v>
      </c>
      <c r="E11" s="266">
        <v>0</v>
      </c>
      <c r="F11" s="266">
        <v>-1.9762999999999999</v>
      </c>
      <c r="G11" s="266">
        <v>-3.0775999999999999</v>
      </c>
      <c r="I11" s="270" t="s">
        <v>318</v>
      </c>
      <c r="J11" s="271">
        <f t="array" ref="J11:N15">C11:G15+C18:G22/C5</f>
        <v>0</v>
      </c>
      <c r="K11" s="271">
        <v>-0.84682911286265306</v>
      </c>
      <c r="L11" s="271">
        <v>-0.78912929733355697</v>
      </c>
      <c r="M11" s="271">
        <v>6.9276387724299893E-2</v>
      </c>
      <c r="N11" s="272">
        <v>1.1078549723293647</v>
      </c>
    </row>
    <row r="12" spans="2:14">
      <c r="B12" s="263" t="str">
        <f>D6</f>
        <v>EtOH</v>
      </c>
      <c r="C12" s="266">
        <v>0</v>
      </c>
      <c r="D12" s="268">
        <v>0</v>
      </c>
      <c r="E12" s="266">
        <v>-1.2101</v>
      </c>
      <c r="F12" s="266">
        <v>-0.98519999999999996</v>
      </c>
      <c r="G12" s="266">
        <v>0</v>
      </c>
      <c r="I12" s="273"/>
      <c r="J12" s="274">
        <v>0.75624886801945335</v>
      </c>
      <c r="K12" s="274">
        <v>0</v>
      </c>
      <c r="L12" s="274">
        <v>0.62710241489183316</v>
      </c>
      <c r="M12" s="274">
        <v>2.8506188160322021E-2</v>
      </c>
      <c r="N12" s="275">
        <v>0.94325574375314447</v>
      </c>
    </row>
    <row r="13" spans="2:14">
      <c r="B13" s="263" t="str">
        <f>E6</f>
        <v>EtAc</v>
      </c>
      <c r="C13" s="266">
        <v>0</v>
      </c>
      <c r="D13" s="266">
        <v>-0.39810000000000001</v>
      </c>
      <c r="E13" s="268">
        <v>0</v>
      </c>
      <c r="F13" s="266">
        <v>-3.7198000000000002</v>
      </c>
      <c r="G13" s="266">
        <v>0</v>
      </c>
      <c r="I13" s="273"/>
      <c r="J13" s="274">
        <v>1.7300727821566326</v>
      </c>
      <c r="K13" s="274">
        <v>0.67314668790877075</v>
      </c>
      <c r="L13" s="274">
        <v>0</v>
      </c>
      <c r="M13" s="274">
        <v>0.59392899547207811</v>
      </c>
      <c r="N13" s="275">
        <v>2.1908702297501259</v>
      </c>
    </row>
    <row r="14" spans="2:14">
      <c r="B14" s="263" t="str">
        <f>F6</f>
        <v>H2O</v>
      </c>
      <c r="C14" s="266">
        <v>3.3292999999999999</v>
      </c>
      <c r="D14" s="266">
        <v>3.7555000000000001</v>
      </c>
      <c r="E14" s="266">
        <v>9.4632000000000005</v>
      </c>
      <c r="F14" s="268">
        <v>0</v>
      </c>
      <c r="G14" s="266">
        <v>0</v>
      </c>
      <c r="I14" s="273"/>
      <c r="J14" s="274">
        <v>0.90136741573033685</v>
      </c>
      <c r="K14" s="274">
        <v>1.4880795740399129</v>
      </c>
      <c r="L14" s="274">
        <v>3.7423111856448097</v>
      </c>
      <c r="M14" s="274">
        <v>0</v>
      </c>
      <c r="N14" s="275">
        <v>2.7046259667952377</v>
      </c>
    </row>
    <row r="15" spans="2:14">
      <c r="B15" s="263" t="str">
        <f>G6</f>
        <v>PropAcid</v>
      </c>
      <c r="C15" s="266">
        <v>2.4451999999999998</v>
      </c>
      <c r="D15" s="266">
        <v>0</v>
      </c>
      <c r="E15" s="266">
        <v>0</v>
      </c>
      <c r="F15" s="266">
        <v>0</v>
      </c>
      <c r="G15" s="268">
        <v>0</v>
      </c>
      <c r="I15" s="273"/>
      <c r="J15" s="274">
        <v>-0.79800308569512035</v>
      </c>
      <c r="K15" s="274">
        <v>-1.2875093073956063</v>
      </c>
      <c r="L15" s="274">
        <v>-1.061845571021298</v>
      </c>
      <c r="M15" s="274">
        <v>-0.43400652356196551</v>
      </c>
      <c r="N15" s="275">
        <v>0</v>
      </c>
    </row>
    <row r="16" spans="2:14">
      <c r="I16" s="273"/>
      <c r="J16" s="274"/>
      <c r="K16" s="274"/>
      <c r="L16" s="274"/>
      <c r="M16" s="274"/>
      <c r="N16" s="275"/>
    </row>
    <row r="17" spans="2:14">
      <c r="B17" s="263" t="s">
        <v>319</v>
      </c>
      <c r="C17" s="263" t="str">
        <f>C6</f>
        <v>HAc</v>
      </c>
      <c r="D17" s="263" t="str">
        <f>D6</f>
        <v>EtOH</v>
      </c>
      <c r="E17" s="263" t="str">
        <f>E6</f>
        <v>EtAc</v>
      </c>
      <c r="F17" s="263" t="str">
        <f>F6</f>
        <v>H2O</v>
      </c>
      <c r="G17" s="263" t="str">
        <f>G6</f>
        <v>PropAcid</v>
      </c>
      <c r="I17" s="273"/>
      <c r="J17" s="274"/>
      <c r="K17" s="274"/>
      <c r="L17" s="274"/>
      <c r="M17" s="274"/>
      <c r="N17" s="275"/>
    </row>
    <row r="18" spans="2:14">
      <c r="B18" s="263" t="str">
        <f>B11</f>
        <v>HAc</v>
      </c>
      <c r="C18" s="268">
        <v>0</v>
      </c>
      <c r="D18" s="266">
        <v>-252.4821</v>
      </c>
      <c r="E18" s="266">
        <v>-235.27889999999999</v>
      </c>
      <c r="F18" s="266">
        <v>609.8886</v>
      </c>
      <c r="G18" s="266">
        <v>1247.8933999999999</v>
      </c>
      <c r="I18" s="273" t="s">
        <v>320</v>
      </c>
      <c r="J18" s="274">
        <f t="array" ref="J18:N22">EXP(-C25:G29*J11:N15)</f>
        <v>1</v>
      </c>
      <c r="K18" s="274">
        <v>1.2892346321153865</v>
      </c>
      <c r="L18" s="274">
        <v>1.2671100917027165</v>
      </c>
      <c r="M18" s="274">
        <v>0.97943156010314358</v>
      </c>
      <c r="N18" s="275">
        <v>0.71723159016584337</v>
      </c>
    </row>
    <row r="19" spans="2:14">
      <c r="B19" s="263" t="str">
        <f>B12</f>
        <v>EtOH</v>
      </c>
      <c r="C19" s="266">
        <v>225.47559999999999</v>
      </c>
      <c r="D19" s="268">
        <v>0</v>
      </c>
      <c r="E19" s="266">
        <v>547.76189999999997</v>
      </c>
      <c r="F19" s="266">
        <v>302.23649999999998</v>
      </c>
      <c r="G19" s="266">
        <v>281.23169999999999</v>
      </c>
      <c r="I19" s="273"/>
      <c r="J19" s="274">
        <v>0.79702067427765255</v>
      </c>
      <c r="K19" s="274">
        <v>1</v>
      </c>
      <c r="L19" s="274">
        <v>0.82850639409601634</v>
      </c>
      <c r="M19" s="274">
        <v>0.99148460665980354</v>
      </c>
      <c r="N19" s="275">
        <v>0.75353732764905335</v>
      </c>
    </row>
    <row r="20" spans="2:14">
      <c r="B20" s="263" t="str">
        <f>B13</f>
        <v>EtAc</v>
      </c>
      <c r="C20" s="266">
        <v>515.82119999999998</v>
      </c>
      <c r="D20" s="266">
        <v>319.3922</v>
      </c>
      <c r="E20" s="268">
        <v>0</v>
      </c>
      <c r="F20" s="266">
        <v>1286.1383000000001</v>
      </c>
      <c r="G20" s="266">
        <v>653.20795899999996</v>
      </c>
      <c r="I20" s="273"/>
      <c r="J20" s="274">
        <v>0.59510237188547799</v>
      </c>
      <c r="K20" s="274">
        <v>0.81714068133209394</v>
      </c>
      <c r="L20" s="274">
        <v>1</v>
      </c>
      <c r="M20" s="274">
        <v>0.88799799036552363</v>
      </c>
      <c r="N20" s="275">
        <v>0.51826889508707574</v>
      </c>
    </row>
    <row r="21" spans="2:14">
      <c r="B21" s="263" t="str">
        <f>B14</f>
        <v>H2O</v>
      </c>
      <c r="C21" s="266">
        <v>-723.88810000000001</v>
      </c>
      <c r="D21" s="266">
        <v>-676.03139999999996</v>
      </c>
      <c r="E21" s="266">
        <v>-1705.683</v>
      </c>
      <c r="F21" s="268">
        <v>0</v>
      </c>
      <c r="G21" s="266">
        <v>806.384232</v>
      </c>
      <c r="I21" s="273"/>
      <c r="J21" s="274">
        <v>0.76306640142183868</v>
      </c>
      <c r="K21" s="274">
        <v>0.63991247345214641</v>
      </c>
      <c r="L21" s="274">
        <v>0.47309349927978656</v>
      </c>
      <c r="M21" s="274">
        <v>1</v>
      </c>
      <c r="N21" s="275">
        <v>0.44424112482164146</v>
      </c>
    </row>
    <row r="22" spans="2:14">
      <c r="B22" s="263" t="str">
        <f>B15</f>
        <v>PropAcid</v>
      </c>
      <c r="C22" s="266">
        <v>-966.96100000000001</v>
      </c>
      <c r="D22" s="266">
        <v>-383.87090000000001</v>
      </c>
      <c r="E22" s="266">
        <v>-316.58925699999998</v>
      </c>
      <c r="F22" s="266">
        <v>-129.399045</v>
      </c>
      <c r="G22" s="268">
        <v>0</v>
      </c>
      <c r="I22" s="273"/>
      <c r="J22" s="274">
        <v>1.2704878057111633</v>
      </c>
      <c r="K22" s="274">
        <v>1.4714565965805364</v>
      </c>
      <c r="L22" s="274">
        <v>1.3751374246253074</v>
      </c>
      <c r="M22" s="274">
        <v>1.1390584009926099</v>
      </c>
      <c r="N22" s="275">
        <v>1</v>
      </c>
    </row>
    <row r="23" spans="2:14">
      <c r="I23" s="273"/>
      <c r="J23" s="274"/>
      <c r="K23" s="274"/>
      <c r="L23" s="274"/>
      <c r="M23" s="274"/>
      <c r="N23" s="275"/>
    </row>
    <row r="24" spans="2:14">
      <c r="B24" s="264" t="s">
        <v>329</v>
      </c>
      <c r="C24" s="263" t="str">
        <f>C6</f>
        <v>HAc</v>
      </c>
      <c r="D24" s="263" t="str">
        <f>D6</f>
        <v>EtOH</v>
      </c>
      <c r="E24" s="263" t="str">
        <f>E6</f>
        <v>EtAc</v>
      </c>
      <c r="F24" s="263" t="str">
        <f>F6</f>
        <v>H2O</v>
      </c>
      <c r="G24" s="263" t="str">
        <f>G6</f>
        <v>PropAcid</v>
      </c>
      <c r="I24" s="273" t="s">
        <v>321</v>
      </c>
      <c r="J24" s="274">
        <f t="array" ref="J24:N24">MMULT(C7:G7,J11:N15*J18:N22)</f>
        <v>0.26125327997824321</v>
      </c>
      <c r="K24" s="274">
        <v>-0.29679585184009438</v>
      </c>
      <c r="L24" s="274">
        <v>-3.4015165098422784E-2</v>
      </c>
      <c r="M24" s="274">
        <v>2.5832780982558839E-2</v>
      </c>
      <c r="N24" s="275">
        <v>0.76846659417539853</v>
      </c>
    </row>
    <row r="25" spans="2:14">
      <c r="B25" s="263" t="str">
        <f>B18</f>
        <v>HAc</v>
      </c>
      <c r="C25" s="266">
        <v>0</v>
      </c>
      <c r="D25" s="268">
        <f>C26</f>
        <v>0.3</v>
      </c>
      <c r="E25" s="268">
        <f>C27</f>
        <v>0.3</v>
      </c>
      <c r="F25" s="268">
        <f>C28</f>
        <v>0.3</v>
      </c>
      <c r="G25" s="268">
        <f>C29</f>
        <v>0.3</v>
      </c>
      <c r="I25" s="273" t="s">
        <v>322</v>
      </c>
      <c r="J25" s="274">
        <f t="array" ref="J25:N25">MMULT(C7:G7,J18:N22)</f>
        <v>0.88513545065922661</v>
      </c>
      <c r="K25" s="274">
        <v>1.0435488766960328</v>
      </c>
      <c r="L25" s="274">
        <v>0.9887694819407653</v>
      </c>
      <c r="M25" s="274">
        <v>0.9995945116242162</v>
      </c>
      <c r="N25" s="275">
        <v>0.68665578754472278</v>
      </c>
    </row>
    <row r="26" spans="2:14">
      <c r="B26" s="263" t="str">
        <f>B19</f>
        <v>EtOH</v>
      </c>
      <c r="C26" s="266">
        <v>0.3</v>
      </c>
      <c r="D26" s="266">
        <v>0</v>
      </c>
      <c r="E26" s="268">
        <f>D27</f>
        <v>0.3</v>
      </c>
      <c r="F26" s="268">
        <f>D28</f>
        <v>0.3</v>
      </c>
      <c r="G26" s="268">
        <f>D29</f>
        <v>0.3</v>
      </c>
      <c r="I26" s="273" t="s">
        <v>323</v>
      </c>
      <c r="J26" s="274">
        <f>1/J25</f>
        <v>1.1297705896371286</v>
      </c>
      <c r="K26" s="274">
        <f>1/K25</f>
        <v>0.95826848395073516</v>
      </c>
      <c r="L26" s="274">
        <f>1/L25</f>
        <v>1.0113580751270674</v>
      </c>
      <c r="M26" s="274">
        <f>1/M25</f>
        <v>1.0004056528633045</v>
      </c>
      <c r="N26" s="275">
        <f>1/N25</f>
        <v>1.4563337528628473</v>
      </c>
    </row>
    <row r="27" spans="2:14">
      <c r="B27" s="263" t="str">
        <f>B20</f>
        <v>EtAc</v>
      </c>
      <c r="C27" s="266">
        <v>0.3</v>
      </c>
      <c r="D27" s="266">
        <v>0.3</v>
      </c>
      <c r="E27" s="266">
        <v>0</v>
      </c>
      <c r="F27" s="268">
        <f>E28</f>
        <v>0.2</v>
      </c>
      <c r="G27" s="268">
        <f>E29</f>
        <v>0.3</v>
      </c>
      <c r="I27" s="273" t="s">
        <v>324</v>
      </c>
      <c r="J27" s="274">
        <f>J26^2</f>
        <v>1.2763815852090252</v>
      </c>
      <c r="K27" s="274">
        <f>K26^2</f>
        <v>0.91827848733324036</v>
      </c>
      <c r="L27" s="274">
        <f>L26^2</f>
        <v>1.0228451561247269</v>
      </c>
      <c r="M27" s="274">
        <f>M26^2</f>
        <v>1.0008114702808546</v>
      </c>
      <c r="N27" s="275">
        <f>N26^2</f>
        <v>2.1209079997275846</v>
      </c>
    </row>
    <row r="28" spans="2:14">
      <c r="B28" s="263" t="str">
        <f>B21</f>
        <v>H2O</v>
      </c>
      <c r="C28" s="266">
        <v>0.3</v>
      </c>
      <c r="D28" s="266">
        <v>0.3</v>
      </c>
      <c r="E28" s="266">
        <v>0.2</v>
      </c>
      <c r="F28" s="266">
        <v>0</v>
      </c>
      <c r="G28" s="268">
        <f>F29</f>
        <v>0.3</v>
      </c>
      <c r="I28" s="273" t="s">
        <v>325</v>
      </c>
      <c r="J28" s="274">
        <f>J24:N24/J25:N25</f>
        <v>0.29515627216565365</v>
      </c>
      <c r="K28" s="274">
        <f>K24:O24/K25:O25</f>
        <v>-0.28441011098567426</v>
      </c>
      <c r="L28" s="274">
        <f>L24:P24/L25:P25</f>
        <v>-3.4401511899070272E-2</v>
      </c>
      <c r="M28" s="274">
        <f>M24:Q24/M25:Q25</f>
        <v>2.5843260124131531E-2</v>
      </c>
      <c r="N28" s="275">
        <f>N24:R24/N25:R25</f>
        <v>1.1191438390451887</v>
      </c>
    </row>
    <row r="29" spans="2:14">
      <c r="B29" s="263" t="str">
        <f>B22</f>
        <v>PropAcid</v>
      </c>
      <c r="C29" s="266">
        <v>0.3</v>
      </c>
      <c r="D29" s="266">
        <v>0.3</v>
      </c>
      <c r="E29" s="266">
        <v>0.3</v>
      </c>
      <c r="F29" s="266">
        <v>0.3</v>
      </c>
      <c r="G29" s="266">
        <v>0</v>
      </c>
      <c r="I29" s="273"/>
      <c r="J29" s="274"/>
      <c r="K29" s="274"/>
      <c r="L29" s="274"/>
      <c r="M29" s="274"/>
      <c r="N29" s="275"/>
    </row>
    <row r="30" spans="2:14">
      <c r="I30" s="273" t="s">
        <v>28</v>
      </c>
      <c r="J30" s="274">
        <f t="shared" ref="J30:N34" si="0">C$7</f>
        <v>0.2</v>
      </c>
      <c r="K30" s="274">
        <f t="shared" si="0"/>
        <v>0.2</v>
      </c>
      <c r="L30" s="274">
        <f t="shared" si="0"/>
        <v>0.2</v>
      </c>
      <c r="M30" s="274">
        <f t="shared" si="0"/>
        <v>0.2</v>
      </c>
      <c r="N30" s="275">
        <f t="shared" si="0"/>
        <v>0.2</v>
      </c>
    </row>
    <row r="31" spans="2:14">
      <c r="I31" s="273"/>
      <c r="J31" s="274">
        <f t="shared" si="0"/>
        <v>0.2</v>
      </c>
      <c r="K31" s="274">
        <f t="shared" si="0"/>
        <v>0.2</v>
      </c>
      <c r="L31" s="274">
        <f t="shared" si="0"/>
        <v>0.2</v>
      </c>
      <c r="M31" s="274">
        <f t="shared" si="0"/>
        <v>0.2</v>
      </c>
      <c r="N31" s="275">
        <f t="shared" si="0"/>
        <v>0.2</v>
      </c>
    </row>
    <row r="32" spans="2:14">
      <c r="I32" s="273"/>
      <c r="J32" s="274">
        <f t="shared" si="0"/>
        <v>0.2</v>
      </c>
      <c r="K32" s="274">
        <f t="shared" si="0"/>
        <v>0.2</v>
      </c>
      <c r="L32" s="274">
        <f t="shared" si="0"/>
        <v>0.2</v>
      </c>
      <c r="M32" s="274">
        <f t="shared" si="0"/>
        <v>0.2</v>
      </c>
      <c r="N32" s="275">
        <f t="shared" si="0"/>
        <v>0.2</v>
      </c>
    </row>
    <row r="33" spans="9:14">
      <c r="I33" s="273"/>
      <c r="J33" s="274">
        <f t="shared" si="0"/>
        <v>0.2</v>
      </c>
      <c r="K33" s="274">
        <f t="shared" si="0"/>
        <v>0.2</v>
      </c>
      <c r="L33" s="274">
        <f t="shared" si="0"/>
        <v>0.2</v>
      </c>
      <c r="M33" s="274">
        <f t="shared" si="0"/>
        <v>0.2</v>
      </c>
      <c r="N33" s="275">
        <f t="shared" si="0"/>
        <v>0.2</v>
      </c>
    </row>
    <row r="34" spans="9:14">
      <c r="I34" s="273"/>
      <c r="J34" s="274">
        <f t="shared" si="0"/>
        <v>0.2</v>
      </c>
      <c r="K34" s="274">
        <f t="shared" si="0"/>
        <v>0.2</v>
      </c>
      <c r="L34" s="274">
        <f t="shared" si="0"/>
        <v>0.2</v>
      </c>
      <c r="M34" s="274">
        <f t="shared" si="0"/>
        <v>0.2</v>
      </c>
      <c r="N34" s="275">
        <f t="shared" si="0"/>
        <v>0.2</v>
      </c>
    </row>
    <row r="35" spans="9:14">
      <c r="I35" s="273"/>
      <c r="J35" s="274"/>
      <c r="K35" s="274"/>
      <c r="L35" s="274"/>
      <c r="M35" s="274"/>
      <c r="N35" s="275"/>
    </row>
    <row r="36" spans="9:14">
      <c r="I36" s="273" t="s">
        <v>326</v>
      </c>
      <c r="J36" s="274">
        <f t="array" ref="J36:N36">MMULT(J26:N26,TRANSPOSE(J30:N34*J11:N15*J18:N22))</f>
        <v>-0.16648123467116158</v>
      </c>
      <c r="K36" s="274">
        <v>0.4539659464826083</v>
      </c>
      <c r="L36" s="274">
        <v>0.77430190681466793</v>
      </c>
      <c r="M36" s="274">
        <v>1.0459856115212398</v>
      </c>
      <c r="N36" s="275">
        <v>-0.98644048169712484</v>
      </c>
    </row>
    <row r="37" spans="9:14">
      <c r="I37" s="273" t="s">
        <v>327</v>
      </c>
      <c r="J37" s="274">
        <f t="array" ref="J37:N37">MMULT(J24:N24*J27:N27,TRANSPOSE(J30:N34*J18:N22))</f>
        <v>0.22646066912483151</v>
      </c>
      <c r="K37" s="274">
        <v>0.24363817495405529</v>
      </c>
      <c r="L37" s="274">
        <v>0.16172048606893294</v>
      </c>
      <c r="M37" s="274">
        <v>0.16269750405327277</v>
      </c>
      <c r="N37" s="275">
        <v>0.32681491424913706</v>
      </c>
    </row>
    <row r="38" spans="9:14">
      <c r="I38" s="276" t="s">
        <v>328</v>
      </c>
      <c r="J38" s="277">
        <f>J28+J36-J37</f>
        <v>-9.7785631630339431E-2</v>
      </c>
      <c r="K38" s="277">
        <f>K28+K36-K37</f>
        <v>-7.4082339457121255E-2</v>
      </c>
      <c r="L38" s="277">
        <f>L28+L36-L37</f>
        <v>0.5781799088466647</v>
      </c>
      <c r="M38" s="277">
        <f>M28+M36-M37</f>
        <v>0.90913136759209867</v>
      </c>
      <c r="N38" s="278">
        <f>N28+N36-N37</f>
        <v>-0.19411155690107323</v>
      </c>
    </row>
  </sheetData>
  <sheetProtection sheet="1" objects="1" scenarios="1"/>
  <phoneticPr fontId="39" type="noConversion"/>
  <pageMargins left="0.75" right="0.75" top="1" bottom="1" header="0.5" footer="0.5"/>
  <pageSetup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P31"/>
  <sheetViews>
    <sheetView showGridLines="0" workbookViewId="0">
      <selection activeCell="O11" sqref="O11"/>
    </sheetView>
  </sheetViews>
  <sheetFormatPr baseColWidth="10" defaultColWidth="9.1640625" defaultRowHeight="13"/>
  <cols>
    <col min="1" max="1" width="9.83203125" style="5" customWidth="1"/>
    <col min="2" max="16384" width="9.1640625" style="5"/>
  </cols>
  <sheetData>
    <row r="1" spans="1:16">
      <c r="A1" s="5" t="s">
        <v>39</v>
      </c>
      <c r="D1" s="5" t="s">
        <v>40</v>
      </c>
    </row>
    <row r="2" spans="1:16">
      <c r="D2" s="5" t="s">
        <v>41</v>
      </c>
    </row>
    <row r="3" spans="1:16">
      <c r="D3" s="5" t="s">
        <v>250</v>
      </c>
    </row>
    <row r="4" spans="1:16">
      <c r="D4" s="5" t="s">
        <v>42</v>
      </c>
    </row>
    <row r="5" spans="1:16">
      <c r="A5" s="23"/>
      <c r="B5" s="24" t="s">
        <v>43</v>
      </c>
      <c r="C5" s="24" t="s">
        <v>44</v>
      </c>
      <c r="D5" s="24" t="s">
        <v>45</v>
      </c>
      <c r="E5" s="24" t="s">
        <v>46</v>
      </c>
      <c r="F5" s="25" t="s">
        <v>47</v>
      </c>
      <c r="H5" s="24" t="s">
        <v>48</v>
      </c>
      <c r="I5" s="24" t="s">
        <v>49</v>
      </c>
    </row>
    <row r="6" spans="1:16">
      <c r="A6" s="26" t="s">
        <v>50</v>
      </c>
      <c r="B6" s="27">
        <v>1.43</v>
      </c>
      <c r="C6" s="27">
        <v>1.43</v>
      </c>
      <c r="D6" s="27">
        <f>_q1</f>
        <v>1.43</v>
      </c>
      <c r="E6" s="24">
        <f>5*(_r1-_q1)-(_r1-1)</f>
        <v>-0.42999999999999994</v>
      </c>
      <c r="F6" s="24">
        <f>_l1-_r1*_l2/_r2</f>
        <v>-1.2189655172413794</v>
      </c>
      <c r="H6" s="27">
        <v>-32.78</v>
      </c>
      <c r="I6" s="27">
        <v>529.57000000000005</v>
      </c>
    </row>
    <row r="7" spans="1:16">
      <c r="A7" s="26" t="s">
        <v>51</v>
      </c>
      <c r="B7" s="27">
        <v>3.19</v>
      </c>
      <c r="C7" s="27">
        <v>2.4</v>
      </c>
      <c r="D7" s="27">
        <f>_q2</f>
        <v>2.4</v>
      </c>
      <c r="E7" s="24">
        <f>5*(_r2-_q2)-(_r2-1)</f>
        <v>1.7600000000000002</v>
      </c>
      <c r="F7" s="24">
        <f>_l2-_r2*_l1/_r1</f>
        <v>2.7192307692307693</v>
      </c>
    </row>
    <row r="8" spans="1:16">
      <c r="B8" s="23" t="s">
        <v>27</v>
      </c>
      <c r="C8" s="28"/>
      <c r="D8" s="17">
        <v>0.05</v>
      </c>
    </row>
    <row r="10" spans="1:16" ht="15">
      <c r="A10" s="4" t="s">
        <v>52</v>
      </c>
      <c r="B10" s="29" t="s">
        <v>53</v>
      </c>
      <c r="C10" s="29" t="s">
        <v>54</v>
      </c>
      <c r="D10" s="4" t="s">
        <v>38</v>
      </c>
      <c r="E10" s="4" t="s">
        <v>55</v>
      </c>
      <c r="F10" s="4" t="s">
        <v>56</v>
      </c>
      <c r="G10" s="4" t="s">
        <v>57</v>
      </c>
      <c r="H10" s="4" t="s">
        <v>58</v>
      </c>
      <c r="I10" s="4" t="s">
        <v>59</v>
      </c>
      <c r="J10" s="4" t="s">
        <v>60</v>
      </c>
      <c r="K10" s="4" t="s">
        <v>61</v>
      </c>
      <c r="L10" s="4" t="s">
        <v>62</v>
      </c>
      <c r="M10" s="4" t="s">
        <v>63</v>
      </c>
      <c r="N10" s="4" t="s">
        <v>64</v>
      </c>
      <c r="O10" s="4" t="s">
        <v>65</v>
      </c>
      <c r="P10" s="4" t="s">
        <v>66</v>
      </c>
    </row>
    <row r="11" spans="1:16">
      <c r="A11" s="30">
        <v>0</v>
      </c>
      <c r="B11" s="5">
        <f t="shared" ref="B11:B31" si="0">1-A11</f>
        <v>1</v>
      </c>
      <c r="C11" s="31">
        <v>90</v>
      </c>
      <c r="D11" s="5">
        <f>C11+273.15</f>
        <v>363.15</v>
      </c>
      <c r="E11" s="5">
        <f t="shared" ref="E11:E31" si="1">EXP(-A12../_T)</f>
        <v>1.0944650777257738</v>
      </c>
      <c r="F11" s="5">
        <f t="shared" ref="F11:F31" si="2">EXP(-A21../_T)</f>
        <v>0.23263887199560943</v>
      </c>
      <c r="G11" s="5">
        <f t="shared" ref="G11:G31" si="3">_x1*_q1/(_x1*_q1+_x2*_q2)</f>
        <v>0</v>
      </c>
      <c r="H11" s="5">
        <f t="shared" ref="H11:H31" si="4">_x2*_q2/(_x1*_q1+_x2*_q2)</f>
        <v>1</v>
      </c>
      <c r="I11" s="5">
        <f t="shared" ref="I11:I31" si="5">_x1*_qp1/(_x1*_qp1+_x2*_qp2)</f>
        <v>0</v>
      </c>
      <c r="J11" s="5">
        <f t="shared" ref="J11:J31" si="6">_x2*_qp2/(_x1*_qp1+_x2*_qp2)</f>
        <v>1</v>
      </c>
      <c r="K11" s="5">
        <f t="shared" ref="K11:K31" si="7">_x1*_r1/(_x1*_r1+_x2*_r2)</f>
        <v>0</v>
      </c>
      <c r="L11" s="5">
        <f t="shared" ref="L11:L31" si="8">_x2*_r2/(_x1*_r1+_x2*_r2)</f>
        <v>1</v>
      </c>
      <c r="M11" s="5">
        <f>LN(_r1/_r2)+5*_q1*LN(_r2*_q1/_r1/_q2)+_lf1-_qp1*LN(_tau21)+_qp1*(1-_tau12)</f>
        <v>1.9634741768082722</v>
      </c>
      <c r="N11" s="5">
        <f t="shared" ref="N11:N26" si="9">LN(_phi2/_x2)+5*_q2*LN(theta2/_phi2)+_phi1*(_lf2)-_qp2*LN(thetap2+thetap1*_tau12)+thetap1*_qp2*(_tau12/(thetap2+thetap1*_tau12)-_tau21/(thetap1+thetap2*_tau21))</f>
        <v>0</v>
      </c>
      <c r="O11" s="5">
        <f t="shared" ref="O11:P31" si="10">EXP(M11)</f>
        <v>7.1240342763596836</v>
      </c>
      <c r="P11" s="5">
        <f t="shared" si="10"/>
        <v>1</v>
      </c>
    </row>
    <row r="12" spans="1:16">
      <c r="A12" s="30">
        <f t="shared" ref="A12:A30" si="11">A11+$D$8</f>
        <v>0.05</v>
      </c>
      <c r="B12" s="5">
        <f t="shared" si="0"/>
        <v>0.95</v>
      </c>
      <c r="C12" s="31">
        <v>90</v>
      </c>
      <c r="D12" s="5">
        <f t="shared" ref="D12:D27" si="12">C12+273.15</f>
        <v>363.15</v>
      </c>
      <c r="E12" s="5">
        <f t="shared" si="1"/>
        <v>1.0944650777257738</v>
      </c>
      <c r="F12" s="5">
        <f t="shared" si="2"/>
        <v>0.23263887199560943</v>
      </c>
      <c r="G12" s="5">
        <f t="shared" si="3"/>
        <v>3.0406123750797365E-2</v>
      </c>
      <c r="H12" s="5">
        <f t="shared" si="4"/>
        <v>0.96959387624920268</v>
      </c>
      <c r="I12" s="5">
        <f t="shared" si="5"/>
        <v>3.0406123750797365E-2</v>
      </c>
      <c r="J12" s="5">
        <f t="shared" si="6"/>
        <v>0.96959387624920268</v>
      </c>
      <c r="K12" s="5">
        <f t="shared" si="7"/>
        <v>2.3049645390070921E-2</v>
      </c>
      <c r="L12" s="5">
        <f t="shared" si="8"/>
        <v>0.97695035460992907</v>
      </c>
      <c r="M12" s="5">
        <f t="shared" ref="M12:M27" si="13">LN(_phi1/_x1)+5*_q1*LN(theta1/_phi1)+_phi2*(_lf1)-_qp1*LN(thetap1+thetap2*_tau21)+thetap2*_qp1*(_tau21/(thetap1+thetap2*_tau21)-_tau12/(thetap2+thetap1*_tau12))</f>
        <v>1.7108931200150137</v>
      </c>
      <c r="N12" s="5">
        <f t="shared" si="9"/>
        <v>6.3816833738385955E-3</v>
      </c>
      <c r="O12" s="5">
        <f t="shared" si="10"/>
        <v>5.5339017095635352</v>
      </c>
      <c r="P12" s="5">
        <f t="shared" si="10"/>
        <v>1.0064020897009918</v>
      </c>
    </row>
    <row r="13" spans="1:16">
      <c r="A13" s="30">
        <f t="shared" si="11"/>
        <v>0.1</v>
      </c>
      <c r="B13" s="5">
        <f t="shared" si="0"/>
        <v>0.9</v>
      </c>
      <c r="C13" s="31">
        <v>90</v>
      </c>
      <c r="D13" s="5">
        <f t="shared" si="12"/>
        <v>363.15</v>
      </c>
      <c r="E13" s="5">
        <f t="shared" si="1"/>
        <v>1.0944650777257738</v>
      </c>
      <c r="F13" s="5">
        <f t="shared" si="2"/>
        <v>0.23263887199560943</v>
      </c>
      <c r="G13" s="5">
        <f t="shared" si="3"/>
        <v>6.2092922275293096E-2</v>
      </c>
      <c r="H13" s="5">
        <f t="shared" si="4"/>
        <v>0.93790707772470694</v>
      </c>
      <c r="I13" s="5">
        <f t="shared" si="5"/>
        <v>6.2092922275293096E-2</v>
      </c>
      <c r="J13" s="5">
        <f t="shared" si="6"/>
        <v>0.93790707772470694</v>
      </c>
      <c r="K13" s="5">
        <f t="shared" si="7"/>
        <v>4.7445255474452552E-2</v>
      </c>
      <c r="L13" s="5">
        <f t="shared" si="8"/>
        <v>0.95255474452554756</v>
      </c>
      <c r="M13" s="5">
        <f t="shared" si="13"/>
        <v>1.4897621530924539</v>
      </c>
      <c r="N13" s="5">
        <f t="shared" si="9"/>
        <v>2.4230403685123695E-2</v>
      </c>
      <c r="O13" s="5">
        <f t="shared" si="10"/>
        <v>4.4360402950518338</v>
      </c>
      <c r="P13" s="5">
        <f t="shared" si="10"/>
        <v>1.0245263453442535</v>
      </c>
    </row>
    <row r="14" spans="1:16">
      <c r="A14" s="30">
        <f t="shared" si="11"/>
        <v>0.15000000000000002</v>
      </c>
      <c r="B14" s="5">
        <f t="shared" si="0"/>
        <v>0.85</v>
      </c>
      <c r="C14" s="31">
        <v>90</v>
      </c>
      <c r="D14" s="5">
        <f t="shared" si="12"/>
        <v>363.15</v>
      </c>
      <c r="E14" s="5">
        <f t="shared" si="1"/>
        <v>1.0944650777257738</v>
      </c>
      <c r="F14" s="5">
        <f t="shared" si="2"/>
        <v>0.23263887199560943</v>
      </c>
      <c r="G14" s="5">
        <f t="shared" si="3"/>
        <v>9.5143047238855624E-2</v>
      </c>
      <c r="H14" s="5">
        <f t="shared" si="4"/>
        <v>0.90485695276114431</v>
      </c>
      <c r="I14" s="5">
        <f t="shared" si="5"/>
        <v>9.5143047238855624E-2</v>
      </c>
      <c r="J14" s="5">
        <f t="shared" si="6"/>
        <v>0.90485695276114431</v>
      </c>
      <c r="K14" s="5">
        <f t="shared" si="7"/>
        <v>7.3308270676691739E-2</v>
      </c>
      <c r="L14" s="5">
        <f t="shared" si="8"/>
        <v>0.92669172932330823</v>
      </c>
      <c r="M14" s="5">
        <f t="shared" si="13"/>
        <v>1.2948070243696219</v>
      </c>
      <c r="N14" s="5">
        <f t="shared" si="9"/>
        <v>5.2011370546609058E-2</v>
      </c>
      <c r="O14" s="5">
        <f t="shared" si="10"/>
        <v>3.6502914888680853</v>
      </c>
      <c r="P14" s="5">
        <f t="shared" si="10"/>
        <v>1.0533877200394373</v>
      </c>
    </row>
    <row r="15" spans="1:16">
      <c r="A15" s="30">
        <f t="shared" si="11"/>
        <v>0.2</v>
      </c>
      <c r="B15" s="5">
        <f t="shared" si="0"/>
        <v>0.8</v>
      </c>
      <c r="C15" s="31">
        <v>90</v>
      </c>
      <c r="D15" s="5">
        <f t="shared" si="12"/>
        <v>363.15</v>
      </c>
      <c r="E15" s="5">
        <f t="shared" si="1"/>
        <v>1.0944650777257738</v>
      </c>
      <c r="F15" s="5">
        <f t="shared" si="2"/>
        <v>0.23263887199560943</v>
      </c>
      <c r="G15" s="5">
        <f t="shared" si="3"/>
        <v>0.12964641885766093</v>
      </c>
      <c r="H15" s="5">
        <f t="shared" si="4"/>
        <v>0.87035358114233907</v>
      </c>
      <c r="I15" s="5">
        <f t="shared" si="5"/>
        <v>0.12964641885766093</v>
      </c>
      <c r="J15" s="5">
        <f t="shared" si="6"/>
        <v>0.87035358114233907</v>
      </c>
      <c r="K15" s="5">
        <f t="shared" si="7"/>
        <v>0.1007751937984496</v>
      </c>
      <c r="L15" s="5">
        <f t="shared" si="8"/>
        <v>0.89922480620155043</v>
      </c>
      <c r="M15" s="5">
        <f t="shared" si="13"/>
        <v>1.1219761088353655</v>
      </c>
      <c r="N15" s="5">
        <f t="shared" si="9"/>
        <v>8.8611690192485243E-2</v>
      </c>
      <c r="O15" s="5">
        <f t="shared" si="10"/>
        <v>3.0709166768441776</v>
      </c>
      <c r="P15" s="5">
        <f t="shared" si="10"/>
        <v>1.092656284786222</v>
      </c>
    </row>
    <row r="16" spans="1:16">
      <c r="A16" s="30">
        <f t="shared" si="11"/>
        <v>0.25</v>
      </c>
      <c r="B16" s="5">
        <f t="shared" si="0"/>
        <v>0.75</v>
      </c>
      <c r="C16" s="31">
        <v>90</v>
      </c>
      <c r="D16" s="5">
        <f t="shared" si="12"/>
        <v>363.15</v>
      </c>
      <c r="E16" s="5">
        <f t="shared" si="1"/>
        <v>1.0944650777257738</v>
      </c>
      <c r="F16" s="5">
        <f t="shared" si="2"/>
        <v>0.23263887199560943</v>
      </c>
      <c r="G16" s="5">
        <f t="shared" si="3"/>
        <v>0.16570104287369641</v>
      </c>
      <c r="H16" s="5">
        <f t="shared" si="4"/>
        <v>0.83429895712630364</v>
      </c>
      <c r="I16" s="5">
        <f t="shared" si="5"/>
        <v>0.16570104287369641</v>
      </c>
      <c r="J16" s="5">
        <f t="shared" si="6"/>
        <v>0.83429895712630364</v>
      </c>
      <c r="K16" s="5">
        <f t="shared" si="7"/>
        <v>0.13</v>
      </c>
      <c r="L16" s="5">
        <f t="shared" si="8"/>
        <v>0.87</v>
      </c>
      <c r="M16" s="5">
        <f t="shared" si="13"/>
        <v>0.96810865514860478</v>
      </c>
      <c r="N16" s="5">
        <f t="shared" si="9"/>
        <v>0.13322959196444722</v>
      </c>
      <c r="O16" s="5">
        <f t="shared" si="10"/>
        <v>2.6329599119176392</v>
      </c>
      <c r="P16" s="5">
        <f t="shared" si="10"/>
        <v>1.1425122798596143</v>
      </c>
    </row>
    <row r="17" spans="1:16">
      <c r="A17" s="30">
        <f t="shared" si="11"/>
        <v>0.3</v>
      </c>
      <c r="B17" s="5">
        <f t="shared" si="0"/>
        <v>0.7</v>
      </c>
      <c r="C17" s="31">
        <v>90</v>
      </c>
      <c r="D17" s="5">
        <f t="shared" si="12"/>
        <v>363.15</v>
      </c>
      <c r="E17" s="5">
        <f t="shared" si="1"/>
        <v>1.0944650777257738</v>
      </c>
      <c r="F17" s="5">
        <f t="shared" si="2"/>
        <v>0.23263887199560943</v>
      </c>
      <c r="G17" s="5">
        <f t="shared" si="3"/>
        <v>0.20341394025604551</v>
      </c>
      <c r="H17" s="5">
        <f t="shared" si="4"/>
        <v>0.79658605974395447</v>
      </c>
      <c r="I17" s="5">
        <f t="shared" si="5"/>
        <v>0.20341394025604551</v>
      </c>
      <c r="J17" s="5">
        <f t="shared" si="6"/>
        <v>0.79658605974395447</v>
      </c>
      <c r="K17" s="5">
        <f t="shared" si="7"/>
        <v>0.16115702479338845</v>
      </c>
      <c r="L17" s="5">
        <f t="shared" si="8"/>
        <v>0.83884297520661155</v>
      </c>
      <c r="M17" s="5">
        <f t="shared" si="13"/>
        <v>0.83070741455138364</v>
      </c>
      <c r="N17" s="5">
        <f t="shared" si="9"/>
        <v>0.18530043271313765</v>
      </c>
      <c r="O17" s="5">
        <f t="shared" si="10"/>
        <v>2.2949416412762225</v>
      </c>
      <c r="P17" s="5">
        <f t="shared" si="10"/>
        <v>1.2035799806147356</v>
      </c>
    </row>
    <row r="18" spans="1:16">
      <c r="A18" s="30">
        <f t="shared" si="11"/>
        <v>0.35</v>
      </c>
      <c r="B18" s="5">
        <f t="shared" si="0"/>
        <v>0.65</v>
      </c>
      <c r="C18" s="31">
        <v>90</v>
      </c>
      <c r="D18" s="5">
        <f t="shared" si="12"/>
        <v>363.15</v>
      </c>
      <c r="E18" s="5">
        <f t="shared" si="1"/>
        <v>1.0944650777257738</v>
      </c>
      <c r="F18" s="5">
        <f t="shared" si="2"/>
        <v>0.23263887199560943</v>
      </c>
      <c r="G18" s="5">
        <f t="shared" si="3"/>
        <v>0.24290220820189271</v>
      </c>
      <c r="H18" s="5">
        <f t="shared" si="4"/>
        <v>0.75709779179810721</v>
      </c>
      <c r="I18" s="5">
        <f t="shared" si="5"/>
        <v>0.24290220820189271</v>
      </c>
      <c r="J18" s="5">
        <f t="shared" si="6"/>
        <v>0.75709779179810721</v>
      </c>
      <c r="K18" s="5">
        <f t="shared" si="7"/>
        <v>0.19444444444444445</v>
      </c>
      <c r="L18" s="5">
        <f t="shared" si="8"/>
        <v>0.80555555555555569</v>
      </c>
      <c r="M18" s="5">
        <f t="shared" si="13"/>
        <v>0.70777936598416336</v>
      </c>
      <c r="N18" s="5">
        <f t="shared" si="9"/>
        <v>0.24444683302015377</v>
      </c>
      <c r="O18" s="5">
        <f t="shared" si="10"/>
        <v>2.0294795197843092</v>
      </c>
      <c r="P18" s="5">
        <f t="shared" si="10"/>
        <v>1.2769147707176773</v>
      </c>
    </row>
    <row r="19" spans="1:16">
      <c r="A19" s="30">
        <f t="shared" si="11"/>
        <v>0.39999999999999997</v>
      </c>
      <c r="B19" s="5">
        <f t="shared" si="0"/>
        <v>0.60000000000000009</v>
      </c>
      <c r="C19" s="31">
        <v>90</v>
      </c>
      <c r="D19" s="5">
        <f t="shared" si="12"/>
        <v>363.15</v>
      </c>
      <c r="E19" s="5">
        <f t="shared" si="1"/>
        <v>1.0944650777257738</v>
      </c>
      <c r="F19" s="5">
        <f t="shared" si="2"/>
        <v>0.23263887199560943</v>
      </c>
      <c r="G19" s="5">
        <f t="shared" si="3"/>
        <v>0.28429423459244529</v>
      </c>
      <c r="H19" s="5">
        <f t="shared" si="4"/>
        <v>0.71570576540755471</v>
      </c>
      <c r="I19" s="5">
        <f t="shared" si="5"/>
        <v>0.28429423459244529</v>
      </c>
      <c r="J19" s="5">
        <f t="shared" si="6"/>
        <v>0.71570576540755471</v>
      </c>
      <c r="K19" s="5">
        <f t="shared" si="7"/>
        <v>0.23008849557522121</v>
      </c>
      <c r="L19" s="5">
        <f t="shared" si="8"/>
        <v>0.76991150442477874</v>
      </c>
      <c r="M19" s="5">
        <f t="shared" si="13"/>
        <v>0.59772209603934934</v>
      </c>
      <c r="N19" s="5">
        <f t="shared" si="9"/>
        <v>0.31044526264389755</v>
      </c>
      <c r="O19" s="5">
        <f t="shared" si="10"/>
        <v>1.8179729125182236</v>
      </c>
      <c r="P19" s="5">
        <f t="shared" si="10"/>
        <v>1.3640323315788432</v>
      </c>
    </row>
    <row r="20" spans="1:16">
      <c r="A20" s="30">
        <f t="shared" si="11"/>
        <v>0.44999999999999996</v>
      </c>
      <c r="B20" s="5">
        <f t="shared" si="0"/>
        <v>0.55000000000000004</v>
      </c>
      <c r="C20" s="31">
        <v>90</v>
      </c>
      <c r="D20" s="5">
        <f t="shared" si="12"/>
        <v>363.15</v>
      </c>
      <c r="E20" s="5">
        <f t="shared" si="1"/>
        <v>1.0944650777257738</v>
      </c>
      <c r="F20" s="5">
        <f t="shared" si="2"/>
        <v>0.23263887199560943</v>
      </c>
      <c r="G20" s="5">
        <f t="shared" si="3"/>
        <v>0.32773109243697479</v>
      </c>
      <c r="H20" s="5">
        <f t="shared" si="4"/>
        <v>0.67226890756302526</v>
      </c>
      <c r="I20" s="5">
        <f t="shared" si="5"/>
        <v>0.32773109243697479</v>
      </c>
      <c r="J20" s="5">
        <f t="shared" si="6"/>
        <v>0.67226890756302526</v>
      </c>
      <c r="K20" s="5">
        <f t="shared" si="7"/>
        <v>0.26834862385321095</v>
      </c>
      <c r="L20" s="5">
        <f t="shared" si="8"/>
        <v>0.73165137614678899</v>
      </c>
      <c r="M20" s="5">
        <f t="shared" si="13"/>
        <v>0.49924158135247731</v>
      </c>
      <c r="N20" s="5">
        <f t="shared" si="9"/>
        <v>0.38320434287683136</v>
      </c>
      <c r="O20" s="5">
        <f t="shared" si="10"/>
        <v>1.6474713237952965</v>
      </c>
      <c r="P20" s="5">
        <f t="shared" si="10"/>
        <v>1.4669777658998462</v>
      </c>
    </row>
    <row r="21" spans="1:16">
      <c r="A21" s="30">
        <f t="shared" si="11"/>
        <v>0.49999999999999994</v>
      </c>
      <c r="B21" s="5">
        <f t="shared" si="0"/>
        <v>0.5</v>
      </c>
      <c r="C21" s="31">
        <v>90</v>
      </c>
      <c r="D21" s="5">
        <f t="shared" si="12"/>
        <v>363.15</v>
      </c>
      <c r="E21" s="5">
        <f t="shared" si="1"/>
        <v>1.0944650777257738</v>
      </c>
      <c r="F21" s="5">
        <f t="shared" si="2"/>
        <v>0.23263887199560943</v>
      </c>
      <c r="G21" s="5">
        <f t="shared" si="3"/>
        <v>0.37336814621409919</v>
      </c>
      <c r="H21" s="5">
        <f t="shared" si="4"/>
        <v>0.62663185378590081</v>
      </c>
      <c r="I21" s="5">
        <f t="shared" si="5"/>
        <v>0.37336814621409919</v>
      </c>
      <c r="J21" s="5">
        <f t="shared" si="6"/>
        <v>0.62663185378590081</v>
      </c>
      <c r="K21" s="5">
        <f t="shared" si="7"/>
        <v>0.30952380952380953</v>
      </c>
      <c r="L21" s="5">
        <f t="shared" si="8"/>
        <v>0.69047619047619058</v>
      </c>
      <c r="M21" s="5">
        <f t="shared" si="13"/>
        <v>0.41129212312285479</v>
      </c>
      <c r="N21" s="5">
        <f t="shared" si="9"/>
        <v>0.46275196685770459</v>
      </c>
      <c r="O21" s="5">
        <f t="shared" si="10"/>
        <v>1.5087660376349292</v>
      </c>
      <c r="P21" s="5">
        <f t="shared" si="10"/>
        <v>1.5884393079583994</v>
      </c>
    </row>
    <row r="22" spans="1:16">
      <c r="A22" s="30">
        <f t="shared" si="11"/>
        <v>0.54999999999999993</v>
      </c>
      <c r="B22" s="5">
        <f t="shared" si="0"/>
        <v>0.45000000000000007</v>
      </c>
      <c r="C22" s="31">
        <v>90</v>
      </c>
      <c r="D22" s="5">
        <f t="shared" si="12"/>
        <v>363.15</v>
      </c>
      <c r="E22" s="5">
        <f t="shared" si="1"/>
        <v>1.0944650777257738</v>
      </c>
      <c r="F22" s="5">
        <f t="shared" si="2"/>
        <v>0.23263887199560943</v>
      </c>
      <c r="G22" s="5">
        <f t="shared" si="3"/>
        <v>0.42137690865255822</v>
      </c>
      <c r="H22" s="5">
        <f t="shared" si="4"/>
        <v>0.57862309134744183</v>
      </c>
      <c r="I22" s="5">
        <f t="shared" si="5"/>
        <v>0.42137690865255822</v>
      </c>
      <c r="J22" s="5">
        <f t="shared" si="6"/>
        <v>0.57862309134744183</v>
      </c>
      <c r="K22" s="5">
        <f t="shared" si="7"/>
        <v>0.35396039603960389</v>
      </c>
      <c r="L22" s="5">
        <f t="shared" si="8"/>
        <v>0.64603960396039617</v>
      </c>
      <c r="M22" s="5">
        <f t="shared" si="13"/>
        <v>0.33303233511244446</v>
      </c>
      <c r="N22" s="5">
        <f t="shared" si="9"/>
        <v>0.54922954363986154</v>
      </c>
      <c r="O22" s="5">
        <f t="shared" si="10"/>
        <v>1.3951924114439389</v>
      </c>
      <c r="P22" s="5">
        <f t="shared" si="10"/>
        <v>1.7319181363560578</v>
      </c>
    </row>
    <row r="23" spans="1:16">
      <c r="A23" s="30">
        <f t="shared" si="11"/>
        <v>0.6</v>
      </c>
      <c r="B23" s="5">
        <f t="shared" si="0"/>
        <v>0.4</v>
      </c>
      <c r="C23" s="31">
        <v>90</v>
      </c>
      <c r="D23" s="5">
        <f t="shared" si="12"/>
        <v>363.15</v>
      </c>
      <c r="E23" s="5">
        <f t="shared" si="1"/>
        <v>1.0944650777257738</v>
      </c>
      <c r="F23" s="5">
        <f t="shared" si="2"/>
        <v>0.23263887199560943</v>
      </c>
      <c r="G23" s="5">
        <f t="shared" si="3"/>
        <v>0.47194719471947194</v>
      </c>
      <c r="H23" s="5">
        <f t="shared" si="4"/>
        <v>0.528052805280528</v>
      </c>
      <c r="I23" s="5">
        <f t="shared" si="5"/>
        <v>0.47194719471947194</v>
      </c>
      <c r="J23" s="5">
        <f t="shared" si="6"/>
        <v>0.528052805280528</v>
      </c>
      <c r="K23" s="5">
        <f t="shared" si="7"/>
        <v>0.40206185567010311</v>
      </c>
      <c r="L23" s="5">
        <f t="shared" si="8"/>
        <v>0.59793814432989689</v>
      </c>
      <c r="M23" s="5">
        <f t="shared" si="13"/>
        <v>0.2637931383644877</v>
      </c>
      <c r="N23" s="5">
        <f t="shared" si="9"/>
        <v>0.64289252873174552</v>
      </c>
      <c r="O23" s="5">
        <f t="shared" si="10"/>
        <v>1.3018588637908028</v>
      </c>
      <c r="P23" s="5">
        <f t="shared" si="10"/>
        <v>1.9019744460571204</v>
      </c>
    </row>
    <row r="24" spans="1:16">
      <c r="A24" s="30">
        <f t="shared" si="11"/>
        <v>0.65</v>
      </c>
      <c r="B24" s="5">
        <f t="shared" si="0"/>
        <v>0.35</v>
      </c>
      <c r="C24" s="31">
        <v>90</v>
      </c>
      <c r="D24" s="5">
        <f t="shared" si="12"/>
        <v>363.15</v>
      </c>
      <c r="E24" s="5">
        <f t="shared" si="1"/>
        <v>1.0944650777257738</v>
      </c>
      <c r="F24" s="5">
        <f t="shared" si="2"/>
        <v>0.23263887199560943</v>
      </c>
      <c r="G24" s="5">
        <f t="shared" si="3"/>
        <v>0.52528962983893757</v>
      </c>
      <c r="H24" s="5">
        <f t="shared" si="4"/>
        <v>0.47471037016106249</v>
      </c>
      <c r="I24" s="5">
        <f t="shared" si="5"/>
        <v>0.52528962983893757</v>
      </c>
      <c r="J24" s="5">
        <f t="shared" si="6"/>
        <v>0.47471037016106249</v>
      </c>
      <c r="K24" s="5">
        <f t="shared" si="7"/>
        <v>0.45430107526881724</v>
      </c>
      <c r="L24" s="5">
        <f t="shared" si="8"/>
        <v>0.54569892473118276</v>
      </c>
      <c r="M24" s="5">
        <f t="shared" si="13"/>
        <v>0.20305510579186775</v>
      </c>
      <c r="N24" s="5">
        <f t="shared" si="9"/>
        <v>0.74411708726302783</v>
      </c>
      <c r="O24" s="5">
        <f t="shared" si="10"/>
        <v>1.2251399786960486</v>
      </c>
      <c r="P24" s="5">
        <f t="shared" si="10"/>
        <v>2.1045824517888274</v>
      </c>
    </row>
    <row r="25" spans="1:16">
      <c r="A25" s="30">
        <f t="shared" si="11"/>
        <v>0.70000000000000007</v>
      </c>
      <c r="B25" s="5">
        <f t="shared" si="0"/>
        <v>0.29999999999999993</v>
      </c>
      <c r="C25" s="31">
        <v>90</v>
      </c>
      <c r="D25" s="5">
        <f t="shared" si="12"/>
        <v>363.15</v>
      </c>
      <c r="E25" s="5">
        <f t="shared" si="1"/>
        <v>1.0944650777257738</v>
      </c>
      <c r="F25" s="5">
        <f t="shared" si="2"/>
        <v>0.23263887199560943</v>
      </c>
      <c r="G25" s="5">
        <f t="shared" si="3"/>
        <v>0.58163858221963982</v>
      </c>
      <c r="H25" s="5">
        <f t="shared" si="4"/>
        <v>0.41836141778036018</v>
      </c>
      <c r="I25" s="5">
        <f t="shared" si="5"/>
        <v>0.58163858221963982</v>
      </c>
      <c r="J25" s="5">
        <f t="shared" si="6"/>
        <v>0.41836141778036018</v>
      </c>
      <c r="K25" s="5">
        <f t="shared" si="7"/>
        <v>0.51123595505617991</v>
      </c>
      <c r="L25" s="5">
        <f t="shared" si="8"/>
        <v>0.48876404494382014</v>
      </c>
      <c r="M25" s="5">
        <f t="shared" si="13"/>
        <v>0.15043349479376045</v>
      </c>
      <c r="N25" s="5">
        <f t="shared" si="9"/>
        <v>0.853413368741611</v>
      </c>
      <c r="O25" s="5">
        <f t="shared" si="10"/>
        <v>1.1623380010041247</v>
      </c>
      <c r="P25" s="5">
        <f t="shared" si="10"/>
        <v>2.3476465745912871</v>
      </c>
    </row>
    <row r="26" spans="1:16">
      <c r="A26" s="30">
        <f t="shared" si="11"/>
        <v>0.75000000000000011</v>
      </c>
      <c r="B26" s="5">
        <f t="shared" si="0"/>
        <v>0.24999999999999989</v>
      </c>
      <c r="C26" s="31">
        <v>90</v>
      </c>
      <c r="D26" s="5">
        <f t="shared" si="12"/>
        <v>363.15</v>
      </c>
      <c r="E26" s="5">
        <f t="shared" si="1"/>
        <v>1.0944650777257738</v>
      </c>
      <c r="F26" s="5">
        <f t="shared" si="2"/>
        <v>0.23263887199560943</v>
      </c>
      <c r="G26" s="5">
        <f t="shared" si="3"/>
        <v>0.64125560538116599</v>
      </c>
      <c r="H26" s="5">
        <f t="shared" si="4"/>
        <v>0.35874439461883395</v>
      </c>
      <c r="I26" s="5">
        <f t="shared" si="5"/>
        <v>0.64125560538116599</v>
      </c>
      <c r="J26" s="5">
        <f t="shared" si="6"/>
        <v>0.35874439461883395</v>
      </c>
      <c r="K26" s="5">
        <f t="shared" si="7"/>
        <v>0.57352941176470595</v>
      </c>
      <c r="L26" s="5">
        <f t="shared" si="8"/>
        <v>0.42647058823529399</v>
      </c>
      <c r="M26" s="5">
        <f t="shared" si="13"/>
        <v>0.10567008036690112</v>
      </c>
      <c r="N26" s="5">
        <f t="shared" si="9"/>
        <v>0.97144655959607207</v>
      </c>
      <c r="O26" s="5">
        <f t="shared" si="10"/>
        <v>1.1114551251435267</v>
      </c>
      <c r="P26" s="5">
        <f t="shared" si="10"/>
        <v>2.6417631645521631</v>
      </c>
    </row>
    <row r="27" spans="1:16">
      <c r="A27" s="30">
        <f t="shared" si="11"/>
        <v>0.80000000000000016</v>
      </c>
      <c r="B27" s="5">
        <f t="shared" si="0"/>
        <v>0.19999999999999984</v>
      </c>
      <c r="C27" s="31">
        <v>90</v>
      </c>
      <c r="D27" s="5">
        <f t="shared" si="12"/>
        <v>363.15</v>
      </c>
      <c r="E27" s="5">
        <f t="shared" si="1"/>
        <v>1.0944650777257738</v>
      </c>
      <c r="F27" s="5">
        <f t="shared" si="2"/>
        <v>0.23263887199560943</v>
      </c>
      <c r="G27" s="5">
        <f t="shared" si="3"/>
        <v>0.70443349753694606</v>
      </c>
      <c r="H27" s="5">
        <f t="shared" si="4"/>
        <v>0.29556650246305399</v>
      </c>
      <c r="I27" s="5">
        <f t="shared" si="5"/>
        <v>0.70443349753694606</v>
      </c>
      <c r="J27" s="5">
        <f t="shared" si="6"/>
        <v>0.29556650246305399</v>
      </c>
      <c r="K27" s="5">
        <f t="shared" si="7"/>
        <v>0.6419753086419755</v>
      </c>
      <c r="L27" s="5">
        <f t="shared" si="8"/>
        <v>0.35802469135802445</v>
      </c>
      <c r="M27" s="5">
        <f t="shared" si="13"/>
        <v>6.8631581952117604E-2</v>
      </c>
      <c r="N27" s="5">
        <f>LN(_phi2/_x2)+5*_q2*LN(theta2/_phi2)+_phi1*(_lf2)-_qp2*LN(thetap2+thetap1*_tau12)+thetap1*_qp2*(_tau12/(thetap2+thetap1*_tau12)-_tau21/(thetap1+thetap2*_tau21))</f>
        <v>1.0990677344954589</v>
      </c>
      <c r="O27" s="5">
        <f t="shared" si="10"/>
        <v>1.0710415454168261</v>
      </c>
      <c r="P27" s="5">
        <f t="shared" si="10"/>
        <v>3.0013666486756425</v>
      </c>
    </row>
    <row r="28" spans="1:16">
      <c r="A28" s="30">
        <f t="shared" si="11"/>
        <v>0.8500000000000002</v>
      </c>
      <c r="B28" s="5">
        <f t="shared" si="0"/>
        <v>0.1499999999999998</v>
      </c>
      <c r="C28" s="31">
        <v>90</v>
      </c>
      <c r="D28" s="5">
        <f>C28+273.15</f>
        <v>363.15</v>
      </c>
      <c r="E28" s="5">
        <f t="shared" si="1"/>
        <v>1.0944650777257738</v>
      </c>
      <c r="F28" s="5">
        <f t="shared" si="2"/>
        <v>0.23263887199560943</v>
      </c>
      <c r="G28" s="5">
        <f t="shared" si="3"/>
        <v>0.77150111075848971</v>
      </c>
      <c r="H28" s="5">
        <f t="shared" si="4"/>
        <v>0.22849888924151035</v>
      </c>
      <c r="I28" s="5">
        <f t="shared" si="5"/>
        <v>0.77150111075848971</v>
      </c>
      <c r="J28" s="5">
        <f t="shared" si="6"/>
        <v>0.22849888924151035</v>
      </c>
      <c r="K28" s="5">
        <f t="shared" si="7"/>
        <v>0.71753246753246791</v>
      </c>
      <c r="L28" s="5">
        <f t="shared" si="8"/>
        <v>0.2824675324675322</v>
      </c>
      <c r="M28" s="5">
        <f>LN(_phi1/_x1)+5*_q1*LN(theta1/_phi1)+_phi2*(_lf1)-_qp1*LN(thetap1+thetap2*_tau21)+thetap2*_qp1*(_tau21/(thetap1+thetap2*_tau21)-_tau12/(thetap2+thetap1*_tau12))</f>
        <v>3.9315175695969679E-2</v>
      </c>
      <c r="N28" s="5">
        <f>LN(_phi2/_x2)+5*_q2*LN(theta2/_phi2)+_phi1*(_lf2)-_qp2*LN(thetap2+thetap1*_tau12)+thetap1*_qp2*(_tau12/(thetap2+thetap1*_tau12)-_tau21/(thetap1+thetap2*_tau21))</f>
        <v>1.2373576982703736</v>
      </c>
      <c r="O28" s="5">
        <f t="shared" si="10"/>
        <v>1.0400982456845915</v>
      </c>
      <c r="P28" s="5">
        <f t="shared" si="10"/>
        <v>3.4464947438392382</v>
      </c>
    </row>
    <row r="29" spans="1:16">
      <c r="A29" s="30">
        <f t="shared" si="11"/>
        <v>0.90000000000000024</v>
      </c>
      <c r="B29" s="5">
        <f t="shared" si="0"/>
        <v>9.9999999999999756E-2</v>
      </c>
      <c r="C29" s="31">
        <v>90</v>
      </c>
      <c r="D29" s="5">
        <f>C29+273.15</f>
        <v>363.15</v>
      </c>
      <c r="E29" s="5">
        <f t="shared" si="1"/>
        <v>1.0944650777257738</v>
      </c>
      <c r="F29" s="5">
        <f t="shared" si="2"/>
        <v>0.23263887199560943</v>
      </c>
      <c r="G29" s="5">
        <f t="shared" si="3"/>
        <v>0.84282907662082551</v>
      </c>
      <c r="H29" s="5">
        <f t="shared" si="4"/>
        <v>0.15717092337917449</v>
      </c>
      <c r="I29" s="5">
        <f t="shared" si="5"/>
        <v>0.84282907662082551</v>
      </c>
      <c r="J29" s="5">
        <f t="shared" si="6"/>
        <v>0.15717092337917449</v>
      </c>
      <c r="K29" s="5">
        <f t="shared" si="7"/>
        <v>0.80136986301369906</v>
      </c>
      <c r="L29" s="5">
        <f t="shared" si="8"/>
        <v>0.19863013698630094</v>
      </c>
      <c r="M29" s="5">
        <f>LN(_phi1/_x1)+5*_q1*LN(theta1/_phi1)+_phi2*(_lf1)-_qp1*LN(thetap1+thetap2*_tau21)+thetap2*_qp1*(_tau21/(thetap1+thetap2*_tau21)-_tau12/(thetap2+thetap1*_tau12))</f>
        <v>1.7862422080182516E-2</v>
      </c>
      <c r="N29" s="5">
        <f>LN(_phi2/_x2)+5*_q2*LN(theta2/_phi2)+_phi1*(_lf2)-_qp2*LN(thetap2+thetap1*_tau12)+thetap1*_qp2*(_tau12/(thetap2+thetap1*_tau12)-_tau21/(thetap1+thetap2*_tau21))</f>
        <v>1.3876887184874542</v>
      </c>
      <c r="O29" s="5">
        <f t="shared" si="10"/>
        <v>1.0180229092807584</v>
      </c>
      <c r="P29" s="5">
        <f t="shared" si="10"/>
        <v>4.0055813197431247</v>
      </c>
    </row>
    <row r="30" spans="1:16">
      <c r="A30" s="30">
        <f t="shared" si="11"/>
        <v>0.95000000000000029</v>
      </c>
      <c r="B30" s="5">
        <f t="shared" si="0"/>
        <v>4.9999999999999711E-2</v>
      </c>
      <c r="C30" s="31">
        <v>90</v>
      </c>
      <c r="D30" s="5">
        <f>C30+273.15</f>
        <v>363.15</v>
      </c>
      <c r="E30" s="5">
        <f t="shared" si="1"/>
        <v>1.0944650777257738</v>
      </c>
      <c r="F30" s="5">
        <f t="shared" si="2"/>
        <v>0.23263887199560943</v>
      </c>
      <c r="G30" s="5">
        <f t="shared" si="3"/>
        <v>0.9188366587757868</v>
      </c>
      <c r="H30" s="5">
        <f t="shared" si="4"/>
        <v>8.1163341224213287E-2</v>
      </c>
      <c r="I30" s="5">
        <f t="shared" si="5"/>
        <v>0.9188366587757868</v>
      </c>
      <c r="J30" s="5">
        <f t="shared" si="6"/>
        <v>8.1163341224213287E-2</v>
      </c>
      <c r="K30" s="5">
        <f t="shared" si="7"/>
        <v>0.89492753623188459</v>
      </c>
      <c r="L30" s="5">
        <f t="shared" si="8"/>
        <v>0.10507246376811538</v>
      </c>
      <c r="M30" s="5">
        <f>LN(_phi1/_x1)+5*_q1*LN(theta1/_phi1)+_phi2*(_lf1)-_qp1*LN(thetap1+thetap2*_tau21)+thetap2*_qp1*(_tau21/(thetap1+thetap2*_tau21)-_tau12/(thetap2+thetap1*_tau12))</f>
        <v>4.5840820808010357E-3</v>
      </c>
      <c r="N30" s="5">
        <f>LN(_phi2/_x2)+5*_q2*LN(theta2/_phi2)+_phi1*(_lf2)-_qp2*LN(thetap2+thetap1*_tau12)+thetap1*_qp2*(_tau12/(thetap2+thetap1*_tau12)-_tau21/(thetap1+thetap2*_tau21))</f>
        <v>1.5518116497779595</v>
      </c>
      <c r="O30" s="5">
        <f t="shared" si="10"/>
        <v>1.0045946050583161</v>
      </c>
      <c r="P30" s="5">
        <f t="shared" si="10"/>
        <v>4.7200134528711102</v>
      </c>
    </row>
    <row r="31" spans="1:16">
      <c r="A31" s="30">
        <v>1</v>
      </c>
      <c r="B31" s="5">
        <f t="shared" si="0"/>
        <v>0</v>
      </c>
      <c r="C31" s="31">
        <v>90</v>
      </c>
      <c r="D31" s="5">
        <f>C31+273.15</f>
        <v>363.15</v>
      </c>
      <c r="E31" s="5">
        <f t="shared" si="1"/>
        <v>1.0944650777257738</v>
      </c>
      <c r="F31" s="5">
        <f t="shared" si="2"/>
        <v>0.23263887199560943</v>
      </c>
      <c r="G31" s="5">
        <f t="shared" si="3"/>
        <v>1</v>
      </c>
      <c r="H31" s="5">
        <f t="shared" si="4"/>
        <v>0</v>
      </c>
      <c r="I31" s="5">
        <f t="shared" si="5"/>
        <v>1</v>
      </c>
      <c r="J31" s="5">
        <f t="shared" si="6"/>
        <v>0</v>
      </c>
      <c r="K31" s="5">
        <f t="shared" si="7"/>
        <v>1</v>
      </c>
      <c r="L31" s="5">
        <f t="shared" si="8"/>
        <v>0</v>
      </c>
      <c r="M31" s="5">
        <f>LN(_phi1/_x1)+5*_q1*LN(theta1/_phi1)+_phi2*(_lf1)-_qp1*LN(thetap1+thetap2*_tau21)+thetap2*_qp1*(_tau21/(thetap1+thetap2*_tau21)-_tau12/(thetap2+thetap1*_tau12))</f>
        <v>0</v>
      </c>
      <c r="N31" s="5">
        <f>LN(_r2/_r1)+5*_q2*LN(_q2*_r1/_q1/_r2)+_lf2-_qp2*LN(_tau12)+_qp2*(1-_tau21)</f>
        <v>1.731980042657375</v>
      </c>
      <c r="O31" s="5">
        <f t="shared" si="10"/>
        <v>1</v>
      </c>
      <c r="P31" s="5">
        <f t="shared" si="10"/>
        <v>5.651833708370293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S46"/>
  <sheetViews>
    <sheetView showGridLines="0" workbookViewId="0">
      <selection activeCell="T1" sqref="T1"/>
    </sheetView>
  </sheetViews>
  <sheetFormatPr baseColWidth="10" defaultColWidth="9.1640625" defaultRowHeight="13"/>
  <cols>
    <col min="1" max="1" width="12.1640625" style="60" customWidth="1"/>
    <col min="2" max="4" width="9.1640625" style="60" customWidth="1"/>
    <col min="5" max="5" width="10.6640625" style="60" customWidth="1"/>
    <col min="6" max="6" width="10.1640625" style="60" customWidth="1"/>
    <col min="7" max="18" width="10.1640625" style="60" hidden="1" customWidth="1"/>
    <col min="19" max="19" width="10.1640625" style="60" customWidth="1"/>
    <col min="20" max="16384" width="9.1640625" style="60"/>
  </cols>
  <sheetData>
    <row r="1" spans="1:19">
      <c r="A1" s="60" t="s">
        <v>10</v>
      </c>
    </row>
    <row r="2" spans="1:19">
      <c r="A2" s="60" t="s">
        <v>68</v>
      </c>
    </row>
    <row r="3" spans="1:19">
      <c r="A3" s="69" t="s">
        <v>228</v>
      </c>
    </row>
    <row r="4" spans="1:19" ht="15">
      <c r="A4" s="69" t="s">
        <v>71</v>
      </c>
    </row>
    <row r="5" spans="1:19">
      <c r="A5" s="61"/>
      <c r="B5" s="61">
        <v>1</v>
      </c>
      <c r="C5" s="63">
        <v>2</v>
      </c>
      <c r="D5" s="61">
        <v>3</v>
      </c>
      <c r="E5" s="61">
        <v>4</v>
      </c>
      <c r="F5" s="61">
        <v>5</v>
      </c>
    </row>
    <row r="6" spans="1:19">
      <c r="A6" s="183" t="s">
        <v>225</v>
      </c>
      <c r="B6" s="62">
        <v>8.0713100000000004</v>
      </c>
      <c r="C6" s="62">
        <v>7.280662108153515</v>
      </c>
      <c r="D6" s="62"/>
      <c r="E6" s="62"/>
      <c r="F6" s="62"/>
    </row>
    <row r="7" spans="1:19">
      <c r="A7" s="183" t="s">
        <v>226</v>
      </c>
      <c r="B7" s="62">
        <v>1730.63</v>
      </c>
      <c r="C7" s="62">
        <v>1434.2010693621778</v>
      </c>
      <c r="D7" s="62"/>
      <c r="E7" s="62"/>
      <c r="F7" s="62"/>
      <c r="O7" s="69" t="s">
        <v>67</v>
      </c>
    </row>
    <row r="8" spans="1:19">
      <c r="A8" s="183" t="s">
        <v>227</v>
      </c>
      <c r="B8" s="62">
        <v>233.42599999999999</v>
      </c>
      <c r="C8" s="62">
        <v>246.49904574755209</v>
      </c>
      <c r="D8" s="62"/>
      <c r="E8" s="62"/>
      <c r="F8" s="62"/>
      <c r="O8" s="5" t="s">
        <v>69</v>
      </c>
    </row>
    <row r="9" spans="1:19" ht="15">
      <c r="A9" s="183" t="s">
        <v>229</v>
      </c>
      <c r="B9" s="61">
        <f>10^(A.-B./(B12-273.15+C.))</f>
        <v>23.686413553095228</v>
      </c>
      <c r="C9" s="61">
        <f>10^(A.-B./(TK-273.15+C.))</f>
        <v>99.571488314950642</v>
      </c>
      <c r="D9" s="61">
        <f>10^(A.-B./(TK-273.15+C.))</f>
        <v>1</v>
      </c>
      <c r="E9" s="61">
        <f>10^(A.-B./(TK-273.15+C.))</f>
        <v>1</v>
      </c>
      <c r="F9" s="61">
        <f>10^(A.-B./(TK-273.15+C.))</f>
        <v>1</v>
      </c>
      <c r="O9" s="5" t="s">
        <v>70</v>
      </c>
    </row>
    <row r="10" spans="1:19">
      <c r="A10" s="184" t="s">
        <v>230</v>
      </c>
      <c r="B10" s="185">
        <f>act*Psat/$B$11</f>
        <v>0.22827007952635694</v>
      </c>
      <c r="C10" s="185">
        <f>act*Psat/$B$11</f>
        <v>0.771721388335318</v>
      </c>
      <c r="D10" s="185">
        <f>act*Psat/$B$11</f>
        <v>8.5321377710834691E-6</v>
      </c>
      <c r="E10" s="185">
        <f>act*Psat/$B$11</f>
        <v>4.3345703390746535E-13</v>
      </c>
      <c r="F10" s="185">
        <f>act*Psat/$B$11</f>
        <v>1.2054844699915228E-13</v>
      </c>
      <c r="H10" s="69" t="s">
        <v>72</v>
      </c>
      <c r="O10" s="69"/>
      <c r="P10" s="60">
        <v>1</v>
      </c>
      <c r="Q10" s="60">
        <v>2</v>
      </c>
      <c r="R10" s="60">
        <v>3</v>
      </c>
      <c r="S10" s="69" t="s">
        <v>73</v>
      </c>
    </row>
    <row r="11" spans="1:19" ht="15">
      <c r="A11" s="184" t="s">
        <v>231</v>
      </c>
      <c r="B11" s="186">
        <f t="array" ref="B11">SUM(B17:F17*B9:F9)</f>
        <v>98.492886484261177</v>
      </c>
      <c r="C11" s="187"/>
      <c r="D11" s="187"/>
      <c r="O11" s="5" t="s">
        <v>74</v>
      </c>
      <c r="P11" s="197">
        <v>0.53096394030730898</v>
      </c>
      <c r="Q11" s="197">
        <v>5.0625342641324211</v>
      </c>
      <c r="R11" s="197">
        <v>2.6115685140434906</v>
      </c>
    </row>
    <row r="12" spans="1:19" ht="15">
      <c r="A12" s="61" t="s">
        <v>75</v>
      </c>
      <c r="B12" s="62">
        <v>298.14999999999998</v>
      </c>
      <c r="C12" s="69" t="s">
        <v>76</v>
      </c>
      <c r="H12" s="69" t="s">
        <v>77</v>
      </c>
      <c r="O12" s="5" t="s">
        <v>78</v>
      </c>
      <c r="P12" s="60">
        <f>B16/I16</f>
        <v>0.53096394030730898</v>
      </c>
      <c r="Q12" s="60">
        <f>C16/J16</f>
        <v>5.0625342641324211</v>
      </c>
      <c r="R12" s="60">
        <f>D16/K16</f>
        <v>2.6115685140434906</v>
      </c>
    </row>
    <row r="13" spans="1:19" ht="16">
      <c r="A13" s="61"/>
      <c r="B13" s="61">
        <v>1</v>
      </c>
      <c r="C13" s="63">
        <v>2</v>
      </c>
      <c r="D13" s="61">
        <v>3</v>
      </c>
      <c r="E13" s="61">
        <v>4</v>
      </c>
      <c r="F13" s="61">
        <v>5</v>
      </c>
      <c r="G13"/>
      <c r="H13" s="61"/>
      <c r="I13" s="61">
        <v>1</v>
      </c>
      <c r="J13" s="63">
        <v>2</v>
      </c>
      <c r="K13" s="61">
        <v>3</v>
      </c>
      <c r="L13" s="61">
        <v>4</v>
      </c>
      <c r="M13" s="61">
        <v>5</v>
      </c>
      <c r="O13" s="69" t="s">
        <v>79</v>
      </c>
      <c r="P13" s="154">
        <f>B15</f>
        <v>0.8910872596023679</v>
      </c>
      <c r="Q13" s="154">
        <f>C15</f>
        <v>9.8912740397632107E-2</v>
      </c>
      <c r="R13" s="154">
        <f>D15</f>
        <v>0.01</v>
      </c>
    </row>
    <row r="14" spans="1:19" ht="16">
      <c r="A14" s="61" t="s">
        <v>80</v>
      </c>
      <c r="B14" s="62" t="s">
        <v>81</v>
      </c>
      <c r="C14" s="62" t="s">
        <v>82</v>
      </c>
      <c r="D14" s="62" t="s">
        <v>83</v>
      </c>
      <c r="E14" s="62"/>
      <c r="F14" s="62"/>
      <c r="G14"/>
      <c r="H14" s="61" t="s">
        <v>80</v>
      </c>
      <c r="I14" s="62" t="str">
        <f>B14</f>
        <v>Water</v>
      </c>
      <c r="J14" s="62" t="str">
        <f>C14</f>
        <v>MEK</v>
      </c>
      <c r="K14" s="62" t="str">
        <f>D14</f>
        <v>Acetic</v>
      </c>
      <c r="L14" s="62">
        <f>E14</f>
        <v>0</v>
      </c>
      <c r="M14" s="62">
        <f>F14</f>
        <v>0</v>
      </c>
      <c r="O14" s="69" t="s">
        <v>84</v>
      </c>
      <c r="P14" s="154">
        <f>(1-R13*(R11-Q11)-Q11)/(P11-Q11)</f>
        <v>0.89108726513660796</v>
      </c>
      <c r="Q14" s="154">
        <f>1-P14-R14</f>
        <v>9.8912734863392041E-2</v>
      </c>
      <c r="R14" s="196">
        <v>0.01</v>
      </c>
    </row>
    <row r="15" spans="1:19" ht="16">
      <c r="A15" s="61" t="s">
        <v>85</v>
      </c>
      <c r="B15" s="64">
        <v>0.8910872596023679</v>
      </c>
      <c r="C15" s="64">
        <v>9.8912740397632107E-2</v>
      </c>
      <c r="D15" s="64">
        <v>0.01</v>
      </c>
      <c r="E15" s="64">
        <v>9.9999999999999994E-12</v>
      </c>
      <c r="F15" s="64">
        <v>9.9999999999999994E-12</v>
      </c>
      <c r="G15"/>
      <c r="H15" s="61" t="s">
        <v>85</v>
      </c>
      <c r="I15" s="64">
        <v>0.47314497299628228</v>
      </c>
      <c r="J15" s="64">
        <v>0.50073914225429261</v>
      </c>
      <c r="K15" s="64">
        <v>2.6115884749425753E-2</v>
      </c>
      <c r="L15" s="64">
        <v>9.9999999999999994E-12</v>
      </c>
      <c r="M15" s="64">
        <v>9.9999999999999994E-12</v>
      </c>
      <c r="O15" s="69" t="s">
        <v>86</v>
      </c>
      <c r="P15" s="154">
        <f>I15</f>
        <v>0.47314497299628228</v>
      </c>
      <c r="Q15" s="154">
        <f>J15</f>
        <v>0.50073914225429261</v>
      </c>
      <c r="R15" s="154">
        <f>K15</f>
        <v>2.6115884749425753E-2</v>
      </c>
    </row>
    <row r="16" spans="1:19" ht="16">
      <c r="A16" s="65" t="s">
        <v>87</v>
      </c>
      <c r="B16" s="61">
        <f>EXP(B40+B44)</f>
        <v>1.0652077401229485</v>
      </c>
      <c r="C16" s="61">
        <f>EXP(C40+C44)</f>
        <v>7.7175272091629772</v>
      </c>
      <c r="D16" s="61">
        <f>EXP(D40+D44)</f>
        <v>8.4035487695540131E-2</v>
      </c>
      <c r="E16" s="61">
        <f>EXP(E40+E44)</f>
        <v>4.2692434436452533</v>
      </c>
      <c r="F16" s="61">
        <f>EXP(F40+F44)</f>
        <v>1.1873164506141483</v>
      </c>
      <c r="G16"/>
      <c r="H16" s="65" t="s">
        <v>87</v>
      </c>
      <c r="I16" s="61">
        <f>EXP(I40+I44)</f>
        <v>2.0061771793889283</v>
      </c>
      <c r="J16" s="61">
        <f>EXP(J40+J44)</f>
        <v>1.5244395013463772</v>
      </c>
      <c r="K16" s="61">
        <f>EXP(K40+K44)</f>
        <v>3.2178166968871907E-2</v>
      </c>
      <c r="L16" s="61">
        <f>EXP(L40+L44)</f>
        <v>1.0185592021579546</v>
      </c>
      <c r="M16" s="61">
        <f>EXP(M40+M44)</f>
        <v>0.69738574530359032</v>
      </c>
      <c r="O16" s="69" t="s">
        <v>88</v>
      </c>
      <c r="P16" s="154">
        <f>P11*P14</f>
        <v>0.47313520545459714</v>
      </c>
      <c r="Q16" s="154">
        <f>Q11*Q14</f>
        <v>0.50074910940496775</v>
      </c>
      <c r="R16" s="154">
        <f>R11*R14</f>
        <v>2.6115685140434906E-2</v>
      </c>
    </row>
    <row r="17" spans="1:15">
      <c r="A17" s="61" t="s">
        <v>89</v>
      </c>
      <c r="B17" s="61">
        <f>xalpha*galpha</f>
        <v>0.9491930460533895</v>
      </c>
      <c r="C17" s="61">
        <f>xalpha*galpha</f>
        <v>0.76336176535159983</v>
      </c>
      <c r="D17" s="61">
        <f>xalpha*galpha</f>
        <v>8.4035487695540128E-4</v>
      </c>
      <c r="E17" s="61">
        <f>xalpha*galpha</f>
        <v>4.2692434436452531E-11</v>
      </c>
      <c r="F17" s="61">
        <f>xalpha*galpha</f>
        <v>1.1873164506141481E-11</v>
      </c>
      <c r="H17" s="61" t="s">
        <v>89</v>
      </c>
      <c r="I17" s="61">
        <f>xbeta*gbeta</f>
        <v>0.94921264736773225</v>
      </c>
      <c r="J17" s="61">
        <f>xbeta*gbeta</f>
        <v>0.76334652832274641</v>
      </c>
      <c r="K17" s="61">
        <f>xbeta*gbeta</f>
        <v>8.4036130000683738E-4</v>
      </c>
      <c r="L17" s="61">
        <f>xbeta*gbeta</f>
        <v>1.0185592021579545E-11</v>
      </c>
      <c r="M17" s="61">
        <f>xbeta*gbeta</f>
        <v>6.9738574530359032E-12</v>
      </c>
    </row>
    <row r="19" spans="1:15">
      <c r="A19" s="61" t="s">
        <v>43</v>
      </c>
      <c r="B19" s="62">
        <v>0.92</v>
      </c>
      <c r="C19" s="62">
        <v>3.2479</v>
      </c>
      <c r="D19" s="62">
        <v>2.2023999999999999</v>
      </c>
      <c r="E19" s="62">
        <v>3.19</v>
      </c>
      <c r="F19" s="62">
        <v>1.43</v>
      </c>
      <c r="H19" s="66"/>
      <c r="I19" s="71"/>
      <c r="J19" s="71"/>
      <c r="K19" s="71"/>
      <c r="L19" s="71"/>
      <c r="M19" s="71"/>
      <c r="O19" s="69" t="s">
        <v>90</v>
      </c>
    </row>
    <row r="20" spans="1:15">
      <c r="A20" s="61" t="s">
        <v>44</v>
      </c>
      <c r="B20" s="62">
        <v>1.4</v>
      </c>
      <c r="C20" s="62">
        <v>2.8759999999999999</v>
      </c>
      <c r="D20" s="62">
        <v>2.0720000000000001</v>
      </c>
      <c r="E20" s="62">
        <v>2.4</v>
      </c>
      <c r="F20" s="62">
        <v>1.43</v>
      </c>
      <c r="G20" s="66"/>
      <c r="H20" s="66"/>
      <c r="I20" s="71"/>
      <c r="J20" s="71"/>
      <c r="K20" s="71"/>
      <c r="L20" s="71"/>
      <c r="M20" s="71"/>
      <c r="O20" s="69" t="s">
        <v>91</v>
      </c>
    </row>
    <row r="21" spans="1:15">
      <c r="A21" s="65" t="s">
        <v>92</v>
      </c>
      <c r="B21" s="61">
        <f>$B$19*B15/B23</f>
        <v>0.70485107347875631</v>
      </c>
      <c r="C21" s="61">
        <f>$C$19*C15/B23</f>
        <v>0.27621304606882896</v>
      </c>
      <c r="D21" s="61">
        <f>$D$19*D15/B23</f>
        <v>1.8935880412692691E-2</v>
      </c>
      <c r="E21" s="61">
        <f>$E$19*E15/B23</f>
        <v>2.7427106119001853E-11</v>
      </c>
      <c r="F21" s="61">
        <f>$F$19*F15/B23</f>
        <v>1.2294909639552556E-11</v>
      </c>
      <c r="G21" s="71"/>
      <c r="H21" s="65" t="s">
        <v>92</v>
      </c>
      <c r="I21" s="61">
        <f>$B$19*I15/I23</f>
        <v>0.20540829111478923</v>
      </c>
      <c r="J21" s="61">
        <f>$C$19*J15/I23</f>
        <v>0.76745002087402914</v>
      </c>
      <c r="K21" s="61">
        <f>$D$19*K15/I23</f>
        <v>2.7141687989380676E-2</v>
      </c>
      <c r="L21" s="61">
        <f>$E$19*L15/I23</f>
        <v>1.5053122469885422E-11</v>
      </c>
      <c r="M21" s="61">
        <f>$F$19*M15/I23</f>
        <v>6.7479514520176035E-12</v>
      </c>
      <c r="O21" s="69" t="s">
        <v>93</v>
      </c>
    </row>
    <row r="22" spans="1:15">
      <c r="A22" s="65" t="s">
        <v>44</v>
      </c>
      <c r="B22" s="61">
        <f>$B$20*B15/D23</f>
        <v>0.80344557684138584</v>
      </c>
      <c r="C22" s="61">
        <f>$C$20*C15/D23</f>
        <v>0.18321005712588856</v>
      </c>
      <c r="D22" s="61">
        <f>$D$20*D15/D23</f>
        <v>1.3344366008059256E-2</v>
      </c>
      <c r="E22" s="61">
        <f>$E$20*E15/D23</f>
        <v>1.545679460392964E-11</v>
      </c>
      <c r="F22" s="61">
        <f>$F$20*F15/D23</f>
        <v>9.2096734515080765E-12</v>
      </c>
      <c r="G22" s="71"/>
      <c r="H22" s="65" t="s">
        <v>44</v>
      </c>
      <c r="I22" s="61">
        <f>$B$20*I15/K23</f>
        <v>0.30714569959014243</v>
      </c>
      <c r="J22" s="61">
        <f>$C$20*J15/K23</f>
        <v>0.66776337566209076</v>
      </c>
      <c r="K22" s="61">
        <f>$D$20*K15/K23</f>
        <v>2.5090924730007819E-2</v>
      </c>
      <c r="L22" s="61">
        <f>$E$20*L15/K23</f>
        <v>1.1128417611145368E-11</v>
      </c>
      <c r="M22" s="61">
        <f>$F$20*M15/K23</f>
        <v>6.630682159974115E-12</v>
      </c>
      <c r="O22" s="69" t="s">
        <v>94</v>
      </c>
    </row>
    <row r="23" spans="1:15" ht="15">
      <c r="A23" s="67" t="s">
        <v>95</v>
      </c>
      <c r="B23" s="60">
        <f t="array" ref="B23">SUM(B15:F15*$B$19:$F$19)</f>
        <v>1.1630829684178479</v>
      </c>
      <c r="C23" s="67" t="s">
        <v>96</v>
      </c>
      <c r="D23" s="60">
        <f t="array" ref="D23">SUM($B$20:$F$20*B15:F15)</f>
        <v>1.5527152048652046</v>
      </c>
      <c r="E23"/>
      <c r="F23" s="66"/>
      <c r="H23" s="67" t="s">
        <v>95</v>
      </c>
      <c r="I23" s="60">
        <f t="array" ref="I23">SUM(I15:M15*$B$19:$F$19)</f>
        <v>2.1191616599026317</v>
      </c>
      <c r="J23" s="67" t="s">
        <v>96</v>
      </c>
      <c r="K23" s="60">
        <f t="array" ref="K23">SUM($B$20:$F$20*I15:M15)</f>
        <v>2.1566408485572506</v>
      </c>
      <c r="L23"/>
      <c r="M23" s="66"/>
    </row>
    <row r="24" spans="1:15" ht="15">
      <c r="A24" s="70" t="s">
        <v>97</v>
      </c>
      <c r="H24" s="151"/>
      <c r="I24" s="66"/>
      <c r="J24" s="66"/>
      <c r="K24" s="66"/>
      <c r="L24" s="66"/>
      <c r="M24" s="66"/>
    </row>
    <row r="25" spans="1:15">
      <c r="A25" s="61"/>
      <c r="B25" s="61">
        <v>1</v>
      </c>
      <c r="C25" s="61">
        <v>2</v>
      </c>
      <c r="D25" s="61">
        <v>3</v>
      </c>
      <c r="E25" s="61">
        <v>4</v>
      </c>
      <c r="F25" s="61">
        <v>5</v>
      </c>
      <c r="H25" s="66"/>
      <c r="I25" s="66"/>
      <c r="J25" s="66"/>
      <c r="K25" s="66"/>
      <c r="L25" s="66"/>
      <c r="M25" s="66"/>
    </row>
    <row r="26" spans="1:15">
      <c r="A26" s="61">
        <v>1</v>
      </c>
      <c r="B26" s="61">
        <v>1</v>
      </c>
      <c r="C26" s="62">
        <f>-2.0882</f>
        <v>-2.0882000000000001</v>
      </c>
      <c r="D26" s="62">
        <f>254.15</f>
        <v>254.15</v>
      </c>
      <c r="E26" s="62">
        <v>0</v>
      </c>
      <c r="F26" s="62">
        <v>0</v>
      </c>
      <c r="H26" s="153" t="s">
        <v>98</v>
      </c>
      <c r="I26" s="66"/>
      <c r="J26" s="71"/>
      <c r="K26" s="71"/>
      <c r="L26" s="71"/>
      <c r="M26" s="71"/>
    </row>
    <row r="27" spans="1:15">
      <c r="A27" s="61">
        <v>2</v>
      </c>
      <c r="B27" s="62">
        <f>345.53</f>
        <v>345.53</v>
      </c>
      <c r="C27" s="61">
        <v>1</v>
      </c>
      <c r="D27" s="62">
        <f>-254.13</f>
        <v>-254.13</v>
      </c>
      <c r="E27" s="62">
        <v>0</v>
      </c>
      <c r="F27" s="62">
        <v>0</v>
      </c>
      <c r="H27" s="153" t="s">
        <v>99</v>
      </c>
      <c r="I27" s="71"/>
      <c r="J27" s="66"/>
      <c r="K27" s="71"/>
      <c r="L27" s="71"/>
      <c r="M27" s="71"/>
    </row>
    <row r="28" spans="1:15">
      <c r="A28" s="61">
        <v>3</v>
      </c>
      <c r="B28" s="62">
        <f>-301.02</f>
        <v>-301.02</v>
      </c>
      <c r="C28" s="62">
        <f>-4.5537</f>
        <v>-4.5537000000000001</v>
      </c>
      <c r="D28" s="61">
        <v>1</v>
      </c>
      <c r="E28" s="62">
        <v>0</v>
      </c>
      <c r="F28" s="62">
        <v>0</v>
      </c>
      <c r="G28" s="66"/>
      <c r="H28" s="153" t="s">
        <v>100</v>
      </c>
      <c r="I28" s="71"/>
      <c r="J28" s="71"/>
      <c r="K28" s="66"/>
      <c r="L28" s="71"/>
      <c r="M28" s="71"/>
    </row>
    <row r="29" spans="1:15">
      <c r="A29" s="61">
        <v>4</v>
      </c>
      <c r="B29" s="62">
        <v>0</v>
      </c>
      <c r="C29" s="62">
        <v>0</v>
      </c>
      <c r="D29" s="62">
        <v>0</v>
      </c>
      <c r="E29" s="61">
        <v>1</v>
      </c>
      <c r="F29" s="62">
        <v>0</v>
      </c>
      <c r="G29" s="71"/>
      <c r="H29" s="66"/>
      <c r="I29" s="71"/>
      <c r="J29" s="71"/>
      <c r="K29" s="71"/>
      <c r="L29" s="66"/>
      <c r="M29" s="71"/>
    </row>
    <row r="30" spans="1:15">
      <c r="A30" s="61">
        <v>5</v>
      </c>
      <c r="B30" s="62">
        <v>0</v>
      </c>
      <c r="C30" s="62">
        <v>0</v>
      </c>
      <c r="D30" s="62">
        <v>0</v>
      </c>
      <c r="E30" s="62">
        <v>0</v>
      </c>
      <c r="F30" s="61">
        <v>1</v>
      </c>
      <c r="G30" s="71"/>
      <c r="H30" s="66"/>
      <c r="I30" s="71"/>
      <c r="J30" s="71"/>
      <c r="K30" s="71"/>
      <c r="L30" s="71"/>
      <c r="M30" s="66"/>
    </row>
    <row r="31" spans="1:15">
      <c r="A31" s="66"/>
      <c r="B31" s="66"/>
      <c r="C31" s="66"/>
      <c r="D31" s="66"/>
      <c r="E31" s="66"/>
      <c r="F31" s="66"/>
      <c r="G31" s="71"/>
      <c r="H31" s="66"/>
      <c r="I31" s="66"/>
      <c r="J31" s="66"/>
      <c r="K31" s="66"/>
      <c r="L31" s="66"/>
      <c r="M31" s="66"/>
    </row>
    <row r="32" spans="1:15" ht="15">
      <c r="A32" s="67" t="s">
        <v>101</v>
      </c>
      <c r="G32" s="71"/>
      <c r="H32" s="81"/>
      <c r="I32" s="66"/>
      <c r="J32" s="66"/>
      <c r="K32" s="66"/>
      <c r="L32" s="66"/>
      <c r="M32" s="66"/>
    </row>
    <row r="33" spans="1:13">
      <c r="A33" s="61"/>
      <c r="B33" s="61">
        <v>1</v>
      </c>
      <c r="C33" s="61">
        <v>2</v>
      </c>
      <c r="D33" s="61">
        <v>3</v>
      </c>
      <c r="E33" s="61">
        <v>4</v>
      </c>
      <c r="F33" s="61">
        <v>5</v>
      </c>
      <c r="H33" s="66"/>
      <c r="I33" s="66"/>
      <c r="J33" s="66"/>
      <c r="K33" s="66"/>
      <c r="L33" s="66"/>
      <c r="M33" s="66"/>
    </row>
    <row r="34" spans="1:13">
      <c r="A34" s="61">
        <v>1</v>
      </c>
      <c r="B34" s="63">
        <v>1</v>
      </c>
      <c r="C34" s="63">
        <f>EXP(-C26/TK)</f>
        <v>1.0070284414877919</v>
      </c>
      <c r="D34" s="63">
        <f>EXP(-D26/TK)</f>
        <v>0.42638044116354101</v>
      </c>
      <c r="E34" s="63">
        <f t="shared" ref="E34:F37" si="0">EXP(-E26/TK)</f>
        <v>1</v>
      </c>
      <c r="F34" s="63">
        <f t="shared" si="0"/>
        <v>1</v>
      </c>
      <c r="H34" s="66"/>
      <c r="I34" s="152"/>
      <c r="J34" s="152"/>
      <c r="K34" s="152"/>
      <c r="L34" s="152"/>
      <c r="M34" s="152"/>
    </row>
    <row r="35" spans="1:13">
      <c r="A35" s="61">
        <v>2</v>
      </c>
      <c r="B35" s="63">
        <f t="shared" ref="B35:E38" si="1">EXP(-B27/TK)</f>
        <v>0.31382703189877065</v>
      </c>
      <c r="C35" s="63">
        <v>1</v>
      </c>
      <c r="D35" s="63">
        <f>EXP(-D27/TK)</f>
        <v>2.3451660193240675</v>
      </c>
      <c r="E35" s="63">
        <f t="shared" si="0"/>
        <v>1</v>
      </c>
      <c r="F35" s="63">
        <f t="shared" si="0"/>
        <v>1</v>
      </c>
      <c r="H35" s="66"/>
      <c r="I35" s="152"/>
      <c r="J35" s="152"/>
      <c r="K35" s="152"/>
      <c r="L35" s="152"/>
      <c r="M35" s="152"/>
    </row>
    <row r="36" spans="1:13">
      <c r="A36" s="61">
        <v>3</v>
      </c>
      <c r="B36" s="63">
        <f t="shared" si="1"/>
        <v>2.7445744267985233</v>
      </c>
      <c r="C36" s="63">
        <f t="shared" si="1"/>
        <v>1.0153904157937348</v>
      </c>
      <c r="D36" s="63">
        <v>1</v>
      </c>
      <c r="E36" s="63">
        <f t="shared" si="0"/>
        <v>1</v>
      </c>
      <c r="F36" s="63">
        <f t="shared" si="0"/>
        <v>1</v>
      </c>
      <c r="H36" s="66"/>
      <c r="I36" s="152"/>
      <c r="J36" s="152"/>
      <c r="K36" s="152"/>
      <c r="L36" s="152"/>
      <c r="M36" s="152"/>
    </row>
    <row r="37" spans="1:13">
      <c r="A37" s="61">
        <v>4</v>
      </c>
      <c r="B37" s="63">
        <f t="shared" si="1"/>
        <v>1</v>
      </c>
      <c r="C37" s="63">
        <f t="shared" si="1"/>
        <v>1</v>
      </c>
      <c r="D37" s="63">
        <f t="shared" si="1"/>
        <v>1</v>
      </c>
      <c r="E37" s="63">
        <v>1</v>
      </c>
      <c r="F37" s="63">
        <f t="shared" si="0"/>
        <v>1</v>
      </c>
      <c r="H37" s="66"/>
      <c r="I37" s="152"/>
      <c r="J37" s="152"/>
      <c r="K37" s="152"/>
      <c r="L37" s="152"/>
      <c r="M37" s="152"/>
    </row>
    <row r="38" spans="1:13">
      <c r="A38" s="61">
        <v>5</v>
      </c>
      <c r="B38" s="63">
        <f t="shared" si="1"/>
        <v>1</v>
      </c>
      <c r="C38" s="63">
        <f t="shared" si="1"/>
        <v>1</v>
      </c>
      <c r="D38" s="63">
        <f t="shared" si="1"/>
        <v>1</v>
      </c>
      <c r="E38" s="63">
        <f t="shared" si="1"/>
        <v>1</v>
      </c>
      <c r="F38" s="63">
        <v>1</v>
      </c>
      <c r="H38" s="66"/>
      <c r="I38" s="152"/>
      <c r="J38" s="152"/>
      <c r="K38" s="152"/>
      <c r="L38" s="152"/>
      <c r="M38" s="152"/>
    </row>
    <row r="40" spans="1:13" ht="15">
      <c r="A40" s="68" t="s">
        <v>102</v>
      </c>
      <c r="B40" s="61">
        <f>LN(B21/B15)+(1-B21/B15)-5*B20*(LN(B21/B22)+(1-B21/B22))</f>
        <v>3.200118510406208E-2</v>
      </c>
      <c r="C40" s="61">
        <f>LN(C21/C15)+(1-C21/C15)-5*C20*(LN(C21/C22)+(1-C21/C22))</f>
        <v>0.63061439677294118</v>
      </c>
      <c r="D40" s="61">
        <f>LN(D21/D15)+(1-D21/D15)-5*D20*(LN(D21/D22)+(1-D21/D22))</f>
        <v>0.46027016838943124</v>
      </c>
      <c r="E40" s="61">
        <f>LN(E21/E15)+(1-E21/E15)-5*E20*(LN(E21/E22)+(1-E21/E22))</f>
        <v>1.6776810988118454</v>
      </c>
      <c r="F40" s="61">
        <f>LN(F21/F15)+(1-F21/F15)-5*F20*(LN(F21/F22)+(1-F21/F22))</f>
        <v>0.3064996718440135</v>
      </c>
      <c r="H40" s="68" t="s">
        <v>102</v>
      </c>
      <c r="I40" s="61">
        <f>LN(I21/I15)+(1-I21/I15)-5*$B$20*(LN(I21/I22)+(1-I21/I22))</f>
        <v>0.22907677243278435</v>
      </c>
      <c r="J40" s="61">
        <f>LN(J21/J15)+(1-J21/J15)-5*$C$20*(LN(J21/J22)+(1-J21/J22))</f>
        <v>4.0237504614051317E-2</v>
      </c>
      <c r="K40" s="61">
        <f>LN(K21/K15)+(1-K21/K15)-5*$D$20*(LN(K21/K22)+(1-K21/K22))</f>
        <v>3.2075270812856951E-2</v>
      </c>
      <c r="L40" s="61">
        <f>LN(L21/L15)+(1-L21/L15)-5*$E$20*(LN(L21/L22)+(1-L21/L22))</f>
        <v>0.51077598066169161</v>
      </c>
      <c r="M40" s="61">
        <f>LN(M21/M15)+(1-M21/M15)-5*$F$20*(LN(M21/M22)+(1-M21/M22))</f>
        <v>-6.7036057486605585E-2</v>
      </c>
    </row>
    <row r="41" spans="1:13" ht="15">
      <c r="A41" s="65" t="s">
        <v>103</v>
      </c>
      <c r="B41" s="61">
        <f t="array" ref="B41:F41">MMULT(B22:F22,$B$34:$F$38)</f>
        <v>0.89756645099543297</v>
      </c>
      <c r="C41" s="61">
        <v>1.0058523455668229</v>
      </c>
      <c r="D41" s="61">
        <v>0.78557584590730645</v>
      </c>
      <c r="E41" s="61">
        <v>1</v>
      </c>
      <c r="F41" s="61">
        <v>1</v>
      </c>
      <c r="H41" s="65" t="s">
        <v>103</v>
      </c>
      <c r="I41" s="61">
        <f t="array" ref="I41:M41">MMULT(I22:M22,$B$34:$F$38)</f>
        <v>0.58557180816134535</v>
      </c>
      <c r="J41" s="61">
        <v>1.0025449153420405</v>
      </c>
      <c r="K41" s="61">
        <v>1.7220678211923637</v>
      </c>
      <c r="L41" s="61">
        <v>1</v>
      </c>
      <c r="M41" s="61">
        <v>1</v>
      </c>
    </row>
    <row r="42" spans="1:13" ht="15">
      <c r="A42" s="65" t="s">
        <v>104</v>
      </c>
      <c r="B42" s="61">
        <f>B22/B41</f>
        <v>0.89513770924741698</v>
      </c>
      <c r="C42" s="61">
        <f>C22/C41</f>
        <v>0.18214408698589366</v>
      </c>
      <c r="D42" s="61">
        <f>D22/D41</f>
        <v>1.6986731551868278E-2</v>
      </c>
      <c r="E42" s="61">
        <f>E22/E41</f>
        <v>1.545679460392964E-11</v>
      </c>
      <c r="F42" s="61">
        <f>F22/F41</f>
        <v>9.2096734515080765E-12</v>
      </c>
      <c r="H42" s="65" t="s">
        <v>104</v>
      </c>
      <c r="I42" s="61">
        <f>I22/I41</f>
        <v>0.52452268929161483</v>
      </c>
      <c r="J42" s="61">
        <f>J22/J41</f>
        <v>0.66606828825646025</v>
      </c>
      <c r="K42" s="61">
        <f>K22/K41</f>
        <v>1.4570230290137357E-2</v>
      </c>
      <c r="L42" s="61">
        <f>L22/L41</f>
        <v>1.1128417611145368E-11</v>
      </c>
      <c r="M42" s="61">
        <f>M22/M41</f>
        <v>6.630682159974115E-12</v>
      </c>
    </row>
    <row r="43" spans="1:13" ht="15">
      <c r="A43" s="65" t="s">
        <v>105</v>
      </c>
      <c r="B43" s="61">
        <f t="array" ref="B43:F43">MMULT(B42:F42,TRANSPOSE(B34:F38))</f>
        <v>1.0858047954087169</v>
      </c>
      <c r="C43" s="61">
        <v>0.50289920305916314</v>
      </c>
      <c r="D43" s="61">
        <v>2.6587061570589841</v>
      </c>
      <c r="E43" s="61">
        <v>1.0942685278098454</v>
      </c>
      <c r="F43" s="61">
        <v>1.0942685278098454</v>
      </c>
      <c r="H43" s="65" t="s">
        <v>105</v>
      </c>
      <c r="I43" s="61">
        <f t="array" ref="I43:M43">MMULT(I42:M42,TRANSPOSE($B$34:$F$38))</f>
        <v>1.2014848607756816</v>
      </c>
      <c r="J43" s="61">
        <v>0.86484729598832433</v>
      </c>
      <c r="K43" s="61">
        <v>2.1304811457729982</v>
      </c>
      <c r="L43" s="61">
        <v>1.2051612078559717</v>
      </c>
      <c r="M43" s="61">
        <v>1.2051612078559717</v>
      </c>
    </row>
    <row r="44" spans="1:13" ht="15">
      <c r="A44" s="68" t="s">
        <v>106</v>
      </c>
      <c r="B44" s="61">
        <f>B20*(1-LN(B41)-B43)</f>
        <v>3.1168656183682673E-2</v>
      </c>
      <c r="C44" s="61">
        <f>C20*(1-LN(C41)-C43)</f>
        <v>1.412879606259722</v>
      </c>
      <c r="D44" s="61">
        <f>D20*(1-LN(D41)-D43)</f>
        <v>-2.9367862651787084</v>
      </c>
      <c r="E44" s="61">
        <f>E20*(1-LN(E41)-E43)</f>
        <v>-0.22624446674362897</v>
      </c>
      <c r="F44" s="61">
        <f>F20*(1-LN(F41)-F43)</f>
        <v>-0.13480399476807892</v>
      </c>
      <c r="H44" s="68" t="s">
        <v>106</v>
      </c>
      <c r="I44" s="61">
        <f>$B$20*(1-LN(I41)-I43)</f>
        <v>0.46715423792686422</v>
      </c>
      <c r="J44" s="61">
        <f>$C$20*(1-LN(J41)-J43)</f>
        <v>0.38138929778517017</v>
      </c>
      <c r="K44" s="61">
        <f>$D$20*(1-LN(K41)-K43)</f>
        <v>-3.4685423716656998</v>
      </c>
      <c r="L44" s="61">
        <f>$E$20*(1-LN(L41)-L43)</f>
        <v>-0.49238689885433207</v>
      </c>
      <c r="M44" s="61">
        <f>$F$20*(1-LN(M41)-M43)</f>
        <v>-0.29338052723403951</v>
      </c>
    </row>
    <row r="46" spans="1:13">
      <c r="A46" s="60" t="s">
        <v>107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pageSetUpPr fitToPage="1"/>
  </sheetPr>
  <dimension ref="A1:DF73"/>
  <sheetViews>
    <sheetView showGridLines="0" topLeftCell="A11" zoomScale="125" zoomScaleNormal="125" zoomScalePageLayoutView="125" workbookViewId="0">
      <selection activeCell="C23" sqref="C23:E42"/>
    </sheetView>
  </sheetViews>
  <sheetFormatPr baseColWidth="10" defaultColWidth="9.1640625" defaultRowHeight="16"/>
  <cols>
    <col min="1" max="2" width="9.1640625" style="32" customWidth="1"/>
    <col min="3" max="4" width="8" style="35" customWidth="1"/>
    <col min="5" max="5" width="10.83203125" style="35" customWidth="1"/>
    <col min="6" max="6" width="6.6640625" style="35" customWidth="1"/>
    <col min="7" max="7" width="7.6640625" style="35" customWidth="1"/>
    <col min="8" max="8" width="7.6640625" style="35" hidden="1" customWidth="1"/>
    <col min="9" max="9" width="8.83203125" style="36" hidden="1" customWidth="1"/>
    <col min="10" max="10" width="7.83203125" style="36" hidden="1" customWidth="1"/>
    <col min="11" max="12" width="7.6640625" style="36" hidden="1" customWidth="1"/>
    <col min="13" max="13" width="8.1640625" style="36" hidden="1" customWidth="1"/>
    <col min="14" max="17" width="6.6640625" style="36" hidden="1" customWidth="1"/>
    <col min="18" max="18" width="8.33203125" style="36" hidden="1" customWidth="1"/>
    <col min="19" max="23" width="6.6640625" style="36" hidden="1" customWidth="1"/>
    <col min="24" max="24" width="9" style="36" hidden="1" customWidth="1"/>
    <col min="25" max="25" width="6.6640625" style="36" hidden="1" customWidth="1"/>
    <col min="26" max="26" width="5.33203125" style="36" hidden="1" customWidth="1"/>
    <col min="27" max="28" width="6.6640625" style="32" hidden="1" customWidth="1"/>
    <col min="29" max="30" width="6.33203125" style="32" hidden="1" customWidth="1"/>
    <col min="31" max="31" width="5.33203125" style="36" hidden="1" customWidth="1"/>
    <col min="32" max="33" width="6.6640625" style="32" hidden="1" customWidth="1"/>
    <col min="34" max="34" width="7.1640625" style="32" hidden="1" customWidth="1"/>
    <col min="35" max="35" width="6.6640625" style="32" hidden="1" customWidth="1"/>
    <col min="36" max="36" width="7" style="36" hidden="1" customWidth="1"/>
    <col min="37" max="38" width="6.6640625" style="32" hidden="1" customWidth="1"/>
    <col min="39" max="40" width="6.33203125" style="32" hidden="1" customWidth="1"/>
    <col min="41" max="45" width="9.1640625" style="32" hidden="1" customWidth="1"/>
    <col min="46" max="53" width="9.1640625" style="32"/>
    <col min="54" max="54" width="8.83203125" style="32" customWidth="1"/>
    <col min="55" max="16384" width="9.1640625" style="32"/>
  </cols>
  <sheetData>
    <row r="1" spans="1:54">
      <c r="A1" s="144" t="s">
        <v>108</v>
      </c>
      <c r="C1" s="144"/>
      <c r="D1" s="144"/>
    </row>
    <row r="2" spans="1:54">
      <c r="A2" s="144" t="s">
        <v>262</v>
      </c>
      <c r="C2" s="144"/>
      <c r="D2" s="144"/>
    </row>
    <row r="3" spans="1:54" s="144" customFormat="1" ht="13">
      <c r="A3" s="144" t="s">
        <v>263</v>
      </c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E3" s="200"/>
      <c r="AJ3" s="200"/>
    </row>
    <row r="4" spans="1:54">
      <c r="A4" s="144"/>
      <c r="C4" s="144"/>
      <c r="D4" s="144"/>
    </row>
    <row r="5" spans="1:54">
      <c r="A5" s="144"/>
      <c r="C5" s="144"/>
      <c r="D5" s="144"/>
    </row>
    <row r="6" spans="1:54">
      <c r="C6" s="144"/>
      <c r="D6" s="144"/>
    </row>
    <row r="7" spans="1:54">
      <c r="B7" s="144"/>
      <c r="C7" s="144"/>
      <c r="D7" s="144"/>
    </row>
    <row r="8" spans="1:54" s="33" customFormat="1">
      <c r="B8" s="144"/>
      <c r="C8" s="144"/>
      <c r="D8" s="144"/>
      <c r="E8" s="201"/>
      <c r="F8" s="201"/>
      <c r="G8" s="201"/>
      <c r="H8" s="49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E8" s="34"/>
      <c r="AJ8" s="34"/>
      <c r="AO8" s="202"/>
      <c r="AT8" s="201"/>
    </row>
    <row r="9" spans="1:54">
      <c r="B9" s="203" t="s">
        <v>115</v>
      </c>
      <c r="C9" s="203">
        <f t="array" ref="C9">SUM(C21:G21*C22:G22*C16:G16)</f>
        <v>46.953338226865711</v>
      </c>
      <c r="D9" s="203" t="s">
        <v>116</v>
      </c>
      <c r="E9" s="201"/>
      <c r="F9" s="201"/>
      <c r="G9" s="201"/>
      <c r="H9" s="49"/>
      <c r="Y9" s="35"/>
      <c r="AO9" s="202"/>
      <c r="AT9" s="201"/>
    </row>
    <row r="10" spans="1:54">
      <c r="B10" s="203" t="s">
        <v>294</v>
      </c>
      <c r="C10" s="204">
        <v>37</v>
      </c>
      <c r="D10" s="205" t="s">
        <v>119</v>
      </c>
      <c r="E10" s="201"/>
      <c r="F10" s="201"/>
      <c r="G10" s="201"/>
      <c r="H10" s="49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7"/>
      <c r="AE10" s="37"/>
      <c r="AJ10" s="37"/>
      <c r="AO10" s="202"/>
      <c r="AT10" s="201"/>
    </row>
    <row r="11" spans="1:54" s="33" customFormat="1">
      <c r="A11" s="206" t="s">
        <v>295</v>
      </c>
      <c r="C11" s="144"/>
      <c r="D11" s="144"/>
      <c r="E11" s="32"/>
      <c r="F11" s="32"/>
      <c r="G11" s="32"/>
      <c r="H11" s="32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E11" s="34"/>
      <c r="AJ11" s="34"/>
      <c r="AT11" s="202"/>
    </row>
    <row r="12" spans="1:54" s="72" customFormat="1" ht="11">
      <c r="C12" s="36" t="s">
        <v>122</v>
      </c>
      <c r="D12" s="36" t="s">
        <v>123</v>
      </c>
      <c r="E12" s="36" t="s">
        <v>124</v>
      </c>
      <c r="F12" s="36" t="s">
        <v>125</v>
      </c>
      <c r="G12" s="36" t="s">
        <v>126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54" s="72" customFormat="1" ht="11">
      <c r="B13" s="35" t="s">
        <v>127</v>
      </c>
      <c r="C13" s="57">
        <v>8.8782899999999998</v>
      </c>
      <c r="D13" s="57">
        <v>8.0713100000000004</v>
      </c>
      <c r="E13" s="73"/>
      <c r="F13" s="57">
        <v>8.1121999999999996</v>
      </c>
      <c r="G13" s="73">
        <v>6.8763199999999998</v>
      </c>
      <c r="H13" s="74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E13" s="36"/>
      <c r="AJ13" s="36"/>
    </row>
    <row r="14" spans="1:54" s="72" customFormat="1" ht="11">
      <c r="B14" s="35" t="s">
        <v>128</v>
      </c>
      <c r="C14" s="57">
        <v>2010.33</v>
      </c>
      <c r="D14" s="57">
        <v>1730.63</v>
      </c>
      <c r="E14" s="207"/>
      <c r="F14" s="57">
        <v>1592.864</v>
      </c>
      <c r="G14" s="57">
        <v>1075.78</v>
      </c>
      <c r="H14" s="75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E14" s="36"/>
      <c r="AJ14" s="36"/>
    </row>
    <row r="15" spans="1:54" s="72" customFormat="1" ht="11">
      <c r="B15" s="35" t="s">
        <v>129</v>
      </c>
      <c r="C15" s="57">
        <v>252.636</v>
      </c>
      <c r="D15" s="57">
        <v>233.42599999999999</v>
      </c>
      <c r="E15" s="57"/>
      <c r="F15" s="57">
        <v>226.184</v>
      </c>
      <c r="G15" s="57">
        <v>233.20500000000001</v>
      </c>
      <c r="H15" s="75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E15" s="36"/>
      <c r="AJ15" s="36"/>
      <c r="AZ15" s="283" t="s">
        <v>345</v>
      </c>
      <c r="BA15" s="283" t="s">
        <v>346</v>
      </c>
      <c r="BB15" s="283" t="s">
        <v>347</v>
      </c>
    </row>
    <row r="16" spans="1:54" s="35" customFormat="1" ht="13">
      <c r="B16" s="35" t="s">
        <v>130</v>
      </c>
      <c r="C16" s="57">
        <f>10^(C13-C14/(C15+T_))</f>
        <v>86.577607356065101</v>
      </c>
      <c r="D16" s="57">
        <f>10^(D13-D14/(D15+T_))</f>
        <v>46.953338226865689</v>
      </c>
      <c r="E16" s="57"/>
      <c r="F16" s="57">
        <f>10^(F13-F14/(F15+T_))</f>
        <v>114.79347064275228</v>
      </c>
      <c r="G16" s="57">
        <f>10^(G13-G14/(G15+T_))</f>
        <v>785.18592248811387</v>
      </c>
      <c r="H16" s="7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E16" s="36"/>
      <c r="AJ16" s="36"/>
      <c r="AZ16" s="286">
        <v>9.9999999999999995E-21</v>
      </c>
      <c r="BA16" s="283">
        <f>1-AZ16</f>
        <v>1</v>
      </c>
      <c r="BB16" s="286">
        <f>AZ16*LN($D$22)+BA16*LN($F$22)+AZ16*LN(AZ16)+BA16*LN(BA16)</f>
        <v>3.4451386802961594</v>
      </c>
    </row>
    <row r="17" spans="1:54" s="35" customFormat="1" ht="11">
      <c r="B17" s="35" t="s">
        <v>131</v>
      </c>
      <c r="C17" s="191">
        <f>C21*C22*C16/$C$9</f>
        <v>5.0770139785271374E-17</v>
      </c>
      <c r="D17" s="191">
        <f>D21*D22*D16/$C$9</f>
        <v>0.99999999999999956</v>
      </c>
      <c r="E17" s="191">
        <f>E21*E22*E16/$C$9</f>
        <v>0</v>
      </c>
      <c r="F17" s="191">
        <f>F21*F22*F16/$C$9</f>
        <v>7.6639988358152522E-19</v>
      </c>
      <c r="G17" s="191">
        <f>G21*G22*G16/$C$9</f>
        <v>4.6897003599876999E-16</v>
      </c>
      <c r="H17" s="75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E17" s="36"/>
      <c r="AJ17" s="36"/>
      <c r="AZ17" s="283">
        <v>0.05</v>
      </c>
      <c r="BA17" s="283">
        <f t="shared" ref="BA17:BA35" si="0">1-AZ17</f>
        <v>0.95</v>
      </c>
      <c r="BB17" s="283">
        <f t="shared" ref="BB17:BB36" si="1">AZ17*LN($D$22)+BA17*LN($F$22)+AZ17*LN(AZ17)+BA17*LN(BA17)</f>
        <v>3.0743665029354785</v>
      </c>
    </row>
    <row r="18" spans="1:54" s="35" customFormat="1" ht="13">
      <c r="A18" s="206" t="s">
        <v>264</v>
      </c>
      <c r="C18" s="76"/>
      <c r="D18" s="76"/>
      <c r="E18" s="75"/>
      <c r="F18" s="75"/>
      <c r="G18" s="75"/>
      <c r="H18" s="75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E18" s="36"/>
      <c r="AJ18" s="36"/>
      <c r="AZ18" s="283">
        <v>0.1</v>
      </c>
      <c r="BA18" s="283">
        <f t="shared" si="0"/>
        <v>0.9</v>
      </c>
      <c r="BB18" s="283">
        <f t="shared" si="1"/>
        <v>2.7755418388750956</v>
      </c>
    </row>
    <row r="19" spans="1:54" s="35" customFormat="1" ht="11">
      <c r="C19" s="36" t="s">
        <v>122</v>
      </c>
      <c r="D19" s="36" t="s">
        <v>123</v>
      </c>
      <c r="E19" s="36" t="s">
        <v>124</v>
      </c>
      <c r="F19" s="36" t="s">
        <v>125</v>
      </c>
      <c r="G19" s="36" t="s">
        <v>126</v>
      </c>
      <c r="H19" s="36"/>
      <c r="I19" s="36"/>
      <c r="J19" s="208"/>
      <c r="K19" s="208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AZ19" s="283">
        <v>0.15</v>
      </c>
      <c r="BA19" s="283">
        <f t="shared" si="0"/>
        <v>0.85</v>
      </c>
      <c r="BB19" s="283">
        <f t="shared" si="1"/>
        <v>2.5056587904457448</v>
      </c>
    </row>
    <row r="20" spans="1:54" s="72" customFormat="1" ht="13">
      <c r="B20" s="35"/>
      <c r="C20" s="53" t="s">
        <v>348</v>
      </c>
      <c r="D20" s="53" t="s">
        <v>81</v>
      </c>
      <c r="E20" s="53" t="s">
        <v>349</v>
      </c>
      <c r="F20" s="54" t="s">
        <v>82</v>
      </c>
      <c r="G20" s="53" t="s">
        <v>133</v>
      </c>
      <c r="H20" s="78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9"/>
      <c r="AU20" s="202"/>
      <c r="AV20" s="144"/>
      <c r="AW20" s="144"/>
      <c r="AZ20" s="283">
        <v>0.2</v>
      </c>
      <c r="BA20" s="283">
        <f t="shared" si="0"/>
        <v>0.8</v>
      </c>
      <c r="BB20" s="283">
        <f t="shared" si="1"/>
        <v>2.2557085206987399</v>
      </c>
    </row>
    <row r="21" spans="1:54" s="72" customFormat="1" ht="15">
      <c r="B21" s="72" t="s">
        <v>296</v>
      </c>
      <c r="C21" s="282">
        <v>9.9999999999999995E-21</v>
      </c>
      <c r="D21" s="55">
        <v>1</v>
      </c>
      <c r="E21" s="55">
        <v>9.9999999999999995E-21</v>
      </c>
      <c r="F21" s="55">
        <v>9.9999999999999995E-21</v>
      </c>
      <c r="G21" s="55">
        <v>9.9999999999999995E-21</v>
      </c>
      <c r="H21" s="79"/>
      <c r="I21" s="36"/>
      <c r="J21" s="202"/>
      <c r="K21" s="202"/>
      <c r="L21" s="36" t="s">
        <v>134</v>
      </c>
      <c r="M21" s="36"/>
      <c r="N21" s="202"/>
      <c r="O21" s="202"/>
      <c r="P21" s="202"/>
      <c r="Q21" s="202"/>
      <c r="R21" s="80" t="s">
        <v>135</v>
      </c>
      <c r="S21" s="36"/>
      <c r="T21" s="36"/>
      <c r="U21" s="36"/>
      <c r="V21" s="202"/>
      <c r="W21" s="35"/>
      <c r="X21" s="81" t="s">
        <v>136</v>
      </c>
      <c r="Y21" s="36"/>
      <c r="Z21" s="35"/>
      <c r="AA21" s="35"/>
      <c r="AB21" s="202"/>
      <c r="AC21" s="36"/>
      <c r="AD21" s="81" t="s">
        <v>137</v>
      </c>
      <c r="AE21" s="35"/>
      <c r="AF21" s="35"/>
      <c r="AG21" s="35"/>
      <c r="AH21" s="36"/>
      <c r="AI21" s="36"/>
      <c r="AJ21" s="81" t="s">
        <v>138</v>
      </c>
      <c r="AK21" s="35"/>
      <c r="AL21" s="35"/>
      <c r="AN21" s="202"/>
      <c r="AP21" s="72" t="s">
        <v>139</v>
      </c>
      <c r="AU21" s="210"/>
      <c r="AV21" s="210"/>
      <c r="AW21" s="210"/>
      <c r="AZ21" s="283">
        <v>0.25</v>
      </c>
      <c r="BA21" s="283">
        <f t="shared" si="0"/>
        <v>0.75</v>
      </c>
      <c r="BB21" s="283">
        <f t="shared" si="1"/>
        <v>2.0215188656033112</v>
      </c>
    </row>
    <row r="22" spans="1:54" s="72" customFormat="1" ht="13">
      <c r="A22" s="72" t="s">
        <v>265</v>
      </c>
      <c r="B22" s="82" t="s">
        <v>140</v>
      </c>
      <c r="C22" s="56">
        <f>EXP(C52-C51+C50)</f>
        <v>2753.3996583657054</v>
      </c>
      <c r="D22" s="56">
        <f>EXP(D52-D51+D50)</f>
        <v>1</v>
      </c>
      <c r="E22" s="56">
        <f>EXP(E52-E51+E50)</f>
        <v>22665.902912856582</v>
      </c>
      <c r="F22" s="56">
        <f>EXP(F52-F51+F50)</f>
        <v>31.347630443914841</v>
      </c>
      <c r="G22" s="56">
        <f>EXP(G52-G51+G50)</f>
        <v>2804.3942317176443</v>
      </c>
      <c r="H22" s="82" t="s">
        <v>141</v>
      </c>
      <c r="I22" s="36"/>
      <c r="J22" s="208">
        <v>1</v>
      </c>
      <c r="K22" s="208">
        <v>2</v>
      </c>
      <c r="L22" s="208">
        <v>3</v>
      </c>
      <c r="M22" s="36">
        <v>4</v>
      </c>
      <c r="N22" s="208">
        <v>5</v>
      </c>
      <c r="O22" s="208" t="s">
        <v>142</v>
      </c>
      <c r="P22" s="208">
        <v>1</v>
      </c>
      <c r="Q22" s="208">
        <v>2</v>
      </c>
      <c r="R22" s="208">
        <v>3</v>
      </c>
      <c r="S22" s="36">
        <v>4</v>
      </c>
      <c r="T22" s="208">
        <v>5</v>
      </c>
      <c r="U22" s="208" t="s">
        <v>142</v>
      </c>
      <c r="V22" s="208">
        <v>1</v>
      </c>
      <c r="W22" s="208">
        <v>2</v>
      </c>
      <c r="X22" s="208">
        <v>3</v>
      </c>
      <c r="Y22" s="36">
        <v>4</v>
      </c>
      <c r="Z22" s="208">
        <v>5</v>
      </c>
      <c r="AA22" s="208" t="s">
        <v>142</v>
      </c>
      <c r="AB22" s="208">
        <v>1</v>
      </c>
      <c r="AC22" s="208">
        <v>2</v>
      </c>
      <c r="AD22" s="208">
        <v>3</v>
      </c>
      <c r="AE22" s="36">
        <v>4</v>
      </c>
      <c r="AF22" s="208">
        <v>5</v>
      </c>
      <c r="AG22" s="208" t="s">
        <v>142</v>
      </c>
      <c r="AH22" s="208">
        <v>1</v>
      </c>
      <c r="AI22" s="208">
        <v>2</v>
      </c>
      <c r="AJ22" s="208">
        <v>3</v>
      </c>
      <c r="AK22" s="36">
        <v>4</v>
      </c>
      <c r="AL22" s="208">
        <v>5</v>
      </c>
      <c r="AM22" s="208" t="s">
        <v>142</v>
      </c>
      <c r="AN22" s="208">
        <v>1</v>
      </c>
      <c r="AO22" s="208">
        <v>2</v>
      </c>
      <c r="AP22" s="208">
        <v>3</v>
      </c>
      <c r="AQ22" s="36">
        <v>4</v>
      </c>
      <c r="AR22" s="208">
        <v>5</v>
      </c>
      <c r="AS22" s="208" t="s">
        <v>142</v>
      </c>
      <c r="AU22" s="144"/>
      <c r="AV22" s="144"/>
      <c r="AW22" s="144"/>
      <c r="AZ22" s="283">
        <v>0.3</v>
      </c>
      <c r="BA22" s="283">
        <f t="shared" si="0"/>
        <v>0.7</v>
      </c>
      <c r="BB22" s="283">
        <f t="shared" si="1"/>
        <v>1.8007327741524177</v>
      </c>
    </row>
    <row r="23" spans="1:54" s="72" customFormat="1" ht="13">
      <c r="A23" s="211">
        <v>1</v>
      </c>
      <c r="B23" s="35" t="str">
        <f>'aij-UNIFAC (VLE)'!V10</f>
        <v>CH3</v>
      </c>
      <c r="C23" s="57">
        <v>1</v>
      </c>
      <c r="D23" s="57"/>
      <c r="E23" s="57">
        <v>1</v>
      </c>
      <c r="F23" s="57">
        <v>1</v>
      </c>
      <c r="G23" s="57">
        <v>2</v>
      </c>
      <c r="H23" s="83">
        <f t="array" ref="H23">SUM(C23:G23*$C$21:$G$21)</f>
        <v>4.9999999999999999E-20</v>
      </c>
      <c r="I23" s="36" t="str">
        <f t="shared" ref="I23:I42" si="2">B23</f>
        <v>CH3</v>
      </c>
      <c r="J23" s="84">
        <f t="shared" ref="J23:J42" si="3">C23/C$44</f>
        <v>0.1111111111111111</v>
      </c>
      <c r="K23" s="85">
        <f t="shared" ref="K23:K42" si="4">D23/D$44</f>
        <v>0</v>
      </c>
      <c r="L23" s="85">
        <f t="shared" ref="L23:L42" si="5">E23/E$44</f>
        <v>0.1111111111111111</v>
      </c>
      <c r="M23" s="85">
        <f t="shared" ref="M23:M42" si="6">F23/F$44</f>
        <v>0.33333333333333331</v>
      </c>
      <c r="N23" s="85">
        <f t="shared" ref="N23:N42" si="7">G23/G$44</f>
        <v>0.4</v>
      </c>
      <c r="O23" s="212">
        <f t="shared" ref="O23:O42" si="8">H23/$H$43</f>
        <v>4.9999999999999999E-20</v>
      </c>
      <c r="P23" s="84">
        <f>J23*'aij-UNIFAC (VLE)'!$X10/J$43</f>
        <v>0.14550446122168839</v>
      </c>
      <c r="Q23" s="85">
        <f>K23*'aij-UNIFAC (VLE)'!$X10/K$43</f>
        <v>0</v>
      </c>
      <c r="R23" s="85">
        <f>L23*'aij-UNIFAC (VLE)'!$X10/L$43</f>
        <v>0.15328994938539409</v>
      </c>
      <c r="S23" s="85">
        <f>M23*'aij-UNIFAC (VLE)'!$X10/M$43</f>
        <v>0.2948539638386648</v>
      </c>
      <c r="T23" s="85">
        <f>N23*'aij-UNIFAC (VLE)'!$X10/N$43</f>
        <v>0.51145958986730999</v>
      </c>
      <c r="U23" s="87">
        <f>O23*'aij-UNIFAC (VLE)'!$X10/O$43</f>
        <v>3.0285714285714289E-20</v>
      </c>
      <c r="V23" s="84">
        <f t="array" ref="V23:AA42">MMULT(TRANSPOSE(tau),P23:U42)</f>
        <v>0.91845127202114463</v>
      </c>
      <c r="W23" s="88">
        <v>0.38011786635938943</v>
      </c>
      <c r="X23" s="85">
        <v>0.92948219476889893</v>
      </c>
      <c r="Y23" s="85">
        <v>0.95723116398898977</v>
      </c>
      <c r="Z23" s="88">
        <v>1</v>
      </c>
      <c r="AA23" s="89">
        <v>0.38011786635938943</v>
      </c>
      <c r="AB23" s="213">
        <f t="shared" ref="AB23:AB42" si="9">P23/V23</f>
        <v>0.15842371354278945</v>
      </c>
      <c r="AC23" s="214">
        <f t="shared" ref="AC23:AC42" si="10">Q23/W23</f>
        <v>0</v>
      </c>
      <c r="AD23" s="214">
        <f t="shared" ref="AD23:AD42" si="11">R23/X23</f>
        <v>0.16491972654033166</v>
      </c>
      <c r="AE23" s="214">
        <f t="shared" ref="AE23:AE42" si="12">S23/Y23</f>
        <v>0.30802796119794557</v>
      </c>
      <c r="AF23" s="214">
        <f t="shared" ref="AF23:AF42" si="13">T23/Z23</f>
        <v>0.51145958986730999</v>
      </c>
      <c r="AG23" s="212">
        <f t="shared" ref="AG23:AG42" si="14">U23/AA23</f>
        <v>7.9674535100857644E-20</v>
      </c>
      <c r="AH23" s="84">
        <f t="array" ref="AH23:AM42">MMULT(tau,AB23:AG42)</f>
        <v>0.90042058962453386</v>
      </c>
      <c r="AI23" s="85">
        <v>1.4270559129019351E-2</v>
      </c>
      <c r="AJ23" s="88">
        <v>0.81895983427818941</v>
      </c>
      <c r="AK23" s="88">
        <v>0.68342436807460794</v>
      </c>
      <c r="AL23" s="88">
        <v>1</v>
      </c>
      <c r="AM23" s="89">
        <v>1.4270559129019351E-2</v>
      </c>
      <c r="AN23" s="92">
        <f>'aij-UNIFAC (VLE)'!$X10*(1-LN(V23)-AH23)</f>
        <v>0.1565796704556254</v>
      </c>
      <c r="AO23" s="93">
        <f>'aij-UNIFAC (VLE)'!$X10*(1-LN(W23)-AI23)</f>
        <v>1.6561468328261879</v>
      </c>
      <c r="AP23" s="93">
        <f>'aij-UNIFAC (VLE)'!$X10*(1-LN(X23)-AJ23)</f>
        <v>0.21553428883243558</v>
      </c>
      <c r="AQ23" s="93">
        <f>'aij-UNIFAC (VLE)'!$X10*(1-LN(Y23)-AK23)</f>
        <v>0.3055225262662975</v>
      </c>
      <c r="AR23" s="93">
        <f>'aij-UNIFAC (VLE)'!$X10*(1-LN(Z23)-AL23)</f>
        <v>0</v>
      </c>
      <c r="AS23" s="94">
        <f>'aij-UNIFAC (VLE)'!$X10*(1-LN(AA23)-AM23)</f>
        <v>1.6561468328261879</v>
      </c>
      <c r="AU23" s="144"/>
      <c r="AV23" s="144"/>
      <c r="AW23" s="144"/>
      <c r="AZ23" s="283">
        <v>0.35</v>
      </c>
      <c r="BA23" s="283">
        <f t="shared" si="0"/>
        <v>0.65</v>
      </c>
      <c r="BB23" s="283">
        <f t="shared" si="1"/>
        <v>1.5918935031578714</v>
      </c>
    </row>
    <row r="24" spans="1:54" s="72" customFormat="1" ht="13">
      <c r="A24" s="211">
        <v>2</v>
      </c>
      <c r="B24" s="35" t="str">
        <f>'aij-UNIFAC (VLE)'!V11</f>
        <v>CH2</v>
      </c>
      <c r="C24" s="57">
        <v>7</v>
      </c>
      <c r="D24" s="57"/>
      <c r="E24" s="57">
        <v>1</v>
      </c>
      <c r="F24" s="57">
        <v>1</v>
      </c>
      <c r="G24" s="57">
        <v>3</v>
      </c>
      <c r="H24" s="83">
        <f t="array" ref="H24">SUM(C24:G24*$C$21:$G$21)</f>
        <v>1.1999999999999999E-19</v>
      </c>
      <c r="I24" s="36" t="str">
        <f t="shared" si="2"/>
        <v>CH2</v>
      </c>
      <c r="J24" s="95">
        <f t="shared" si="3"/>
        <v>0.77777777777777779</v>
      </c>
      <c r="K24" s="96">
        <f t="shared" si="4"/>
        <v>0</v>
      </c>
      <c r="L24" s="96">
        <f t="shared" si="5"/>
        <v>0.1111111111111111</v>
      </c>
      <c r="M24" s="96">
        <f t="shared" si="6"/>
        <v>0.33333333333333331</v>
      </c>
      <c r="N24" s="96">
        <f t="shared" si="7"/>
        <v>0.6</v>
      </c>
      <c r="O24" s="215">
        <f t="shared" si="8"/>
        <v>1.1999999999999999E-19</v>
      </c>
      <c r="P24" s="95">
        <f>J24*'aij-UNIFAC (VLE)'!$X11/J$43</f>
        <v>0.64859299931365821</v>
      </c>
      <c r="Q24" s="96">
        <f>K24*'aij-UNIFAC (VLE)'!$X11/K$43</f>
        <v>0</v>
      </c>
      <c r="R24" s="96">
        <f>L24*'aij-UNIFAC (VLE)'!$X11/L$43</f>
        <v>9.7613882863340579E-2</v>
      </c>
      <c r="S24" s="96">
        <f>M24*'aij-UNIFAC (VLE)'!$X11/M$43</f>
        <v>0.18776077885952713</v>
      </c>
      <c r="T24" s="96">
        <f>N24*'aij-UNIFAC (VLE)'!$X11/N$43</f>
        <v>0.48854041013269001</v>
      </c>
      <c r="U24" s="98">
        <f>O24*'aij-UNIFAC (VLE)'!$X11/O$43</f>
        <v>4.6285714285714285E-20</v>
      </c>
      <c r="V24" s="95">
        <v>0.91845127202114463</v>
      </c>
      <c r="W24" s="99">
        <v>0.38011786635938943</v>
      </c>
      <c r="X24" s="96">
        <v>0.92948219476889893</v>
      </c>
      <c r="Y24" s="96">
        <v>0.95723116398898977</v>
      </c>
      <c r="Z24" s="99">
        <v>1</v>
      </c>
      <c r="AA24" s="100">
        <v>0.38011786635938943</v>
      </c>
      <c r="AB24" s="216">
        <f t="shared" si="9"/>
        <v>0.70618117593366048</v>
      </c>
      <c r="AC24" s="217">
        <f t="shared" si="10"/>
        <v>0</v>
      </c>
      <c r="AD24" s="217">
        <f t="shared" si="11"/>
        <v>0.10501963718370176</v>
      </c>
      <c r="AE24" s="217">
        <f t="shared" si="12"/>
        <v>0.19614988095152194</v>
      </c>
      <c r="AF24" s="217">
        <f t="shared" si="13"/>
        <v>0.48854041013269001</v>
      </c>
      <c r="AG24" s="215">
        <f t="shared" si="14"/>
        <v>1.2176674232395223E-19</v>
      </c>
      <c r="AH24" s="95">
        <v>0.90042058962453386</v>
      </c>
      <c r="AI24" s="96">
        <v>1.4270559129019351E-2</v>
      </c>
      <c r="AJ24" s="99">
        <v>0.81895983427818941</v>
      </c>
      <c r="AK24" s="99">
        <v>0.68342436807460794</v>
      </c>
      <c r="AL24" s="99">
        <v>1</v>
      </c>
      <c r="AM24" s="100">
        <v>1.4270559129019351E-2</v>
      </c>
      <c r="AN24" s="103">
        <f>'aij-UNIFAC (VLE)'!$X11*(1-LN(V24)-AH24)</f>
        <v>9.9708752412780335E-2</v>
      </c>
      <c r="AO24" s="104">
        <f>'aij-UNIFAC (VLE)'!$X11*(1-LN(W24)-AI24)</f>
        <v>1.0546218039223367</v>
      </c>
      <c r="AP24" s="104">
        <f>'aij-UNIFAC (VLE)'!$X11*(1-LN(X24)-AJ24)</f>
        <v>0.13725060845461701</v>
      </c>
      <c r="AQ24" s="104">
        <f>'aij-UNIFAC (VLE)'!$X11*(1-LN(Y24)-AK24)</f>
        <v>0.19455443889599133</v>
      </c>
      <c r="AR24" s="104">
        <f>'aij-UNIFAC (VLE)'!$X11*(1-LN(Z24)-AL24)</f>
        <v>0</v>
      </c>
      <c r="AS24" s="105">
        <f>'aij-UNIFAC (VLE)'!$X11*(1-LN(AA24)-AM24)</f>
        <v>1.0546218039223367</v>
      </c>
      <c r="AU24" s="144"/>
      <c r="AV24" s="144"/>
      <c r="AW24" s="144"/>
      <c r="AZ24" s="283">
        <v>0.4</v>
      </c>
      <c r="BA24" s="283">
        <f t="shared" si="0"/>
        <v>0.6</v>
      </c>
      <c r="BB24" s="283">
        <f t="shared" si="1"/>
        <v>1.3940715411684392</v>
      </c>
    </row>
    <row r="25" spans="1:54" s="72" customFormat="1" ht="11">
      <c r="A25" s="211">
        <v>3</v>
      </c>
      <c r="B25" s="35" t="str">
        <f>'aij-UNIFAC (VLE)'!V12</f>
        <v>CH</v>
      </c>
      <c r="C25" s="57">
        <v>0</v>
      </c>
      <c r="D25" s="57"/>
      <c r="E25" s="57"/>
      <c r="F25" s="57"/>
      <c r="G25" s="57"/>
      <c r="H25" s="83">
        <f t="array" ref="H25">SUM(C25:G25*$C$21:$G$21)</f>
        <v>0</v>
      </c>
      <c r="I25" s="36" t="str">
        <f t="shared" si="2"/>
        <v>CH</v>
      </c>
      <c r="J25" s="95">
        <f t="shared" si="3"/>
        <v>0</v>
      </c>
      <c r="K25" s="96">
        <f t="shared" si="4"/>
        <v>0</v>
      </c>
      <c r="L25" s="96">
        <f t="shared" si="5"/>
        <v>0</v>
      </c>
      <c r="M25" s="96">
        <f t="shared" si="6"/>
        <v>0</v>
      </c>
      <c r="N25" s="96">
        <f t="shared" si="7"/>
        <v>0</v>
      </c>
      <c r="O25" s="215">
        <f t="shared" si="8"/>
        <v>0</v>
      </c>
      <c r="P25" s="95">
        <f>J25*'aij-UNIFAC (VLE)'!$X12/J$43</f>
        <v>0</v>
      </c>
      <c r="Q25" s="96">
        <f>K25*'aij-UNIFAC (VLE)'!$X12/K$43</f>
        <v>0</v>
      </c>
      <c r="R25" s="96">
        <f>L25*'aij-UNIFAC (VLE)'!$X12/L$43</f>
        <v>0</v>
      </c>
      <c r="S25" s="96">
        <f>M25*'aij-UNIFAC (VLE)'!$X12/M$43</f>
        <v>0</v>
      </c>
      <c r="T25" s="96">
        <f>N25*'aij-UNIFAC (VLE)'!$X12/N$43</f>
        <v>0</v>
      </c>
      <c r="U25" s="98">
        <f>O25*'aij-UNIFAC (VLE)'!$X12/O$43</f>
        <v>0</v>
      </c>
      <c r="V25" s="95">
        <v>0.91845127202114463</v>
      </c>
      <c r="W25" s="99">
        <v>0.38011786635938943</v>
      </c>
      <c r="X25" s="99">
        <v>0.92948219476889893</v>
      </c>
      <c r="Y25" s="99">
        <v>0.95723116398898977</v>
      </c>
      <c r="Z25" s="99">
        <v>1</v>
      </c>
      <c r="AA25" s="100">
        <v>0.38011786635938943</v>
      </c>
      <c r="AB25" s="216">
        <f t="shared" si="9"/>
        <v>0</v>
      </c>
      <c r="AC25" s="217">
        <f t="shared" si="10"/>
        <v>0</v>
      </c>
      <c r="AD25" s="217">
        <f t="shared" si="11"/>
        <v>0</v>
      </c>
      <c r="AE25" s="217">
        <f t="shared" si="12"/>
        <v>0</v>
      </c>
      <c r="AF25" s="217">
        <f t="shared" si="13"/>
        <v>0</v>
      </c>
      <c r="AG25" s="215">
        <f t="shared" si="14"/>
        <v>0</v>
      </c>
      <c r="AH25" s="106">
        <v>0.90042058962453386</v>
      </c>
      <c r="AI25" s="99">
        <v>1.4270559129019351E-2</v>
      </c>
      <c r="AJ25" s="99">
        <v>0.81895983427818941</v>
      </c>
      <c r="AK25" s="99">
        <v>0.68342436807460794</v>
      </c>
      <c r="AL25" s="99">
        <v>1</v>
      </c>
      <c r="AM25" s="100">
        <v>1.4270559129019351E-2</v>
      </c>
      <c r="AN25" s="103">
        <f>'aij-UNIFAC (VLE)'!$X12*(1-LN(V25)-AH25)</f>
        <v>4.2099251018729474E-2</v>
      </c>
      <c r="AO25" s="104">
        <f>'aij-UNIFAC (VLE)'!$X12*(1-LN(W25)-AI25)</f>
        <v>0.44528476165609776</v>
      </c>
      <c r="AP25" s="104">
        <f>'aij-UNIFAC (VLE)'!$X12*(1-LN(X25)-AJ25)</f>
        <v>5.7950256903060514E-2</v>
      </c>
      <c r="AQ25" s="104">
        <f>'aij-UNIFAC (VLE)'!$X12*(1-LN(Y25)-AK25)</f>
        <v>8.2145207533863007E-2</v>
      </c>
      <c r="AR25" s="104">
        <f>'aij-UNIFAC (VLE)'!$X12*(1-LN(Z25)-AL25)</f>
        <v>0</v>
      </c>
      <c r="AS25" s="105">
        <f>'aij-UNIFAC (VLE)'!$X12*(1-LN(AA25)-AM25)</f>
        <v>0.44528476165609776</v>
      </c>
      <c r="AZ25" s="283">
        <v>0.45</v>
      </c>
      <c r="BA25" s="283">
        <f t="shared" si="0"/>
        <v>0.55000000000000004</v>
      </c>
      <c r="BB25" s="283">
        <f t="shared" si="1"/>
        <v>1.2066874604492994</v>
      </c>
    </row>
    <row r="26" spans="1:54" s="72" customFormat="1" ht="11">
      <c r="A26" s="211">
        <v>9</v>
      </c>
      <c r="B26" s="35" t="str">
        <f>'aij-UNIFAC (VLE)'!V13</f>
        <v>ACH</v>
      </c>
      <c r="C26" s="57"/>
      <c r="D26" s="57"/>
      <c r="E26" s="57">
        <v>4</v>
      </c>
      <c r="F26" s="57"/>
      <c r="G26" s="57"/>
      <c r="H26" s="83">
        <f t="array" ref="H26">SUM(C26:G26*$C$21:$G$21)</f>
        <v>3.9999999999999998E-20</v>
      </c>
      <c r="I26" s="36" t="str">
        <f t="shared" si="2"/>
        <v>ACH</v>
      </c>
      <c r="J26" s="95">
        <f t="shared" si="3"/>
        <v>0</v>
      </c>
      <c r="K26" s="96">
        <f t="shared" si="4"/>
        <v>0</v>
      </c>
      <c r="L26" s="96">
        <f t="shared" si="5"/>
        <v>0.44444444444444442</v>
      </c>
      <c r="M26" s="96">
        <f t="shared" si="6"/>
        <v>0</v>
      </c>
      <c r="N26" s="96">
        <f t="shared" si="7"/>
        <v>0</v>
      </c>
      <c r="O26" s="215">
        <f t="shared" si="8"/>
        <v>3.9999999999999998E-20</v>
      </c>
      <c r="P26" s="95">
        <f>J26*'aij-UNIFAC (VLE)'!$X13/J$43</f>
        <v>0</v>
      </c>
      <c r="Q26" s="96">
        <f>K26*'aij-UNIFAC (VLE)'!$X13/K$43</f>
        <v>0</v>
      </c>
      <c r="R26" s="96">
        <f>L26*'aij-UNIFAC (VLE)'!$X13/L$43</f>
        <v>0.28922631959508321</v>
      </c>
      <c r="S26" s="96">
        <f>M26*'aij-UNIFAC (VLE)'!$X13/M$43</f>
        <v>0</v>
      </c>
      <c r="T26" s="96">
        <f>N26*'aij-UNIFAC (VLE)'!$X13/N$43</f>
        <v>0</v>
      </c>
      <c r="U26" s="98">
        <f>O26*'aij-UNIFAC (VLE)'!$X13/O$43</f>
        <v>1.1428571428571428E-20</v>
      </c>
      <c r="V26" s="95">
        <v>0.80628147658699467</v>
      </c>
      <c r="W26" s="96">
        <v>0.3109433784513686</v>
      </c>
      <c r="X26" s="96">
        <v>1.0592742243249043</v>
      </c>
      <c r="Y26" s="99">
        <v>0.72561328148824533</v>
      </c>
      <c r="Z26" s="99">
        <v>0.82111001416921814</v>
      </c>
      <c r="AA26" s="100">
        <v>0.3109433784513686</v>
      </c>
      <c r="AB26" s="216">
        <f t="shared" si="9"/>
        <v>0</v>
      </c>
      <c r="AC26" s="217">
        <f t="shared" si="10"/>
        <v>0</v>
      </c>
      <c r="AD26" s="217">
        <f t="shared" si="11"/>
        <v>0.27304196869267983</v>
      </c>
      <c r="AE26" s="217">
        <f t="shared" si="12"/>
        <v>0</v>
      </c>
      <c r="AF26" s="217">
        <f t="shared" si="13"/>
        <v>0</v>
      </c>
      <c r="AG26" s="215">
        <f t="shared" si="14"/>
        <v>3.675450972936171E-20</v>
      </c>
      <c r="AH26" s="95">
        <v>1.0070147851613926</v>
      </c>
      <c r="AI26" s="99">
        <v>5.4254256151088295E-2</v>
      </c>
      <c r="AJ26" s="99">
        <v>0.85762092859839489</v>
      </c>
      <c r="AK26" s="99">
        <v>1.2889824032348356</v>
      </c>
      <c r="AL26" s="99">
        <v>1.0365041111017466</v>
      </c>
      <c r="AM26" s="100">
        <v>5.4254256151088295E-2</v>
      </c>
      <c r="AN26" s="103">
        <f>'aij-UNIFAC (VLE)'!$X13*(1-LN(V26)-AH26)</f>
        <v>8.3323034297910506E-2</v>
      </c>
      <c r="AO26" s="104">
        <f>'aij-UNIFAC (VLE)'!$X13*(1-LN(W26)-AI26)</f>
        <v>0.84555607603384186</v>
      </c>
      <c r="AP26" s="104">
        <f>'aij-UNIFAC (VLE)'!$X13*(1-LN(X26)-AJ26)</f>
        <v>3.3918036728299676E-2</v>
      </c>
      <c r="AQ26" s="104">
        <f>'aij-UNIFAC (VLE)'!$X13*(1-LN(Y26)-AK26)</f>
        <v>1.2702269187208249E-2</v>
      </c>
      <c r="AR26" s="104">
        <f>'aij-UNIFAC (VLE)'!$X13*(1-LN(Z26)-AL26)</f>
        <v>6.4237626879630305E-2</v>
      </c>
      <c r="AS26" s="105">
        <f>'aij-UNIFAC (VLE)'!$X13*(1-LN(AA26)-AM26)</f>
        <v>0.84555607603384186</v>
      </c>
      <c r="AZ26" s="283">
        <v>0.5</v>
      </c>
      <c r="BA26" s="283">
        <f t="shared" si="0"/>
        <v>0.5</v>
      </c>
      <c r="BB26" s="283">
        <f t="shared" si="1"/>
        <v>1.0294221595881343</v>
      </c>
    </row>
    <row r="27" spans="1:54" s="72" customFormat="1" ht="11">
      <c r="A27" s="211">
        <v>10</v>
      </c>
      <c r="B27" s="35" t="str">
        <f>'aij-UNIFAC (VLE)'!V14</f>
        <v>AC</v>
      </c>
      <c r="C27" s="57"/>
      <c r="D27" s="57"/>
      <c r="E27" s="57"/>
      <c r="F27" s="57"/>
      <c r="G27" s="57"/>
      <c r="H27" s="83">
        <f t="array" ref="H27">SUM(C27:G27*$C$21:$G$21)</f>
        <v>0</v>
      </c>
      <c r="I27" s="36" t="str">
        <f t="shared" si="2"/>
        <v>AC</v>
      </c>
      <c r="J27" s="95">
        <f t="shared" si="3"/>
        <v>0</v>
      </c>
      <c r="K27" s="96">
        <f t="shared" si="4"/>
        <v>0</v>
      </c>
      <c r="L27" s="96">
        <f t="shared" si="5"/>
        <v>0</v>
      </c>
      <c r="M27" s="96">
        <f t="shared" si="6"/>
        <v>0</v>
      </c>
      <c r="N27" s="96">
        <f t="shared" si="7"/>
        <v>0</v>
      </c>
      <c r="O27" s="215">
        <f t="shared" si="8"/>
        <v>0</v>
      </c>
      <c r="P27" s="95">
        <f>J27*'aij-UNIFAC (VLE)'!$X14/J$43</f>
        <v>0</v>
      </c>
      <c r="Q27" s="96">
        <f>K27*'aij-UNIFAC (VLE)'!$X14/K$43</f>
        <v>0</v>
      </c>
      <c r="R27" s="96">
        <f>L27*'aij-UNIFAC (VLE)'!$X14/L$43</f>
        <v>0</v>
      </c>
      <c r="S27" s="96">
        <f>M27*'aij-UNIFAC (VLE)'!$X14/M$43</f>
        <v>0</v>
      </c>
      <c r="T27" s="96">
        <f>N27*'aij-UNIFAC (VLE)'!$X14/N$43</f>
        <v>0</v>
      </c>
      <c r="U27" s="98">
        <f>O27*'aij-UNIFAC (VLE)'!$X14/O$43</f>
        <v>0</v>
      </c>
      <c r="V27" s="95">
        <v>0.80628147658699467</v>
      </c>
      <c r="W27" s="96">
        <v>0.3109433784513686</v>
      </c>
      <c r="X27" s="96">
        <v>1.0592742243249043</v>
      </c>
      <c r="Y27" s="99">
        <v>0.72561328148824533</v>
      </c>
      <c r="Z27" s="99">
        <v>0.82111001416921814</v>
      </c>
      <c r="AA27" s="100">
        <v>0.3109433784513686</v>
      </c>
      <c r="AB27" s="216">
        <f t="shared" si="9"/>
        <v>0</v>
      </c>
      <c r="AC27" s="217">
        <f t="shared" si="10"/>
        <v>0</v>
      </c>
      <c r="AD27" s="217">
        <f t="shared" si="11"/>
        <v>0</v>
      </c>
      <c r="AE27" s="217">
        <f t="shared" si="12"/>
        <v>0</v>
      </c>
      <c r="AF27" s="217">
        <f t="shared" si="13"/>
        <v>0</v>
      </c>
      <c r="AG27" s="215">
        <f t="shared" si="14"/>
        <v>0</v>
      </c>
      <c r="AH27" s="95">
        <v>1.0070147851613926</v>
      </c>
      <c r="AI27" s="99">
        <v>5.4254256151088295E-2</v>
      </c>
      <c r="AJ27" s="99">
        <v>0.85762092859839489</v>
      </c>
      <c r="AK27" s="99">
        <v>1.2889824032348356</v>
      </c>
      <c r="AL27" s="99">
        <v>1.0365041111017466</v>
      </c>
      <c r="AM27" s="100">
        <v>5.4254256151088295E-2</v>
      </c>
      <c r="AN27" s="103">
        <f>'aij-UNIFAC (VLE)'!$X14*(1-LN(V27)-AH27)</f>
        <v>2.4996910289373151E-2</v>
      </c>
      <c r="AO27" s="104">
        <f>'aij-UNIFAC (VLE)'!$X14*(1-LN(W27)-AI27)</f>
        <v>0.25366682281015251</v>
      </c>
      <c r="AP27" s="104">
        <f>'aij-UNIFAC (VLE)'!$X14*(1-LN(X27)-AJ27)</f>
        <v>1.0175411018489901E-2</v>
      </c>
      <c r="AQ27" s="104">
        <f>'aij-UNIFAC (VLE)'!$X14*(1-LN(Y27)-AK27)</f>
        <v>3.8106807561624745E-3</v>
      </c>
      <c r="AR27" s="104">
        <f>'aij-UNIFAC (VLE)'!$X14*(1-LN(Z27)-AL27)</f>
        <v>1.9271288063889089E-2</v>
      </c>
      <c r="AS27" s="105">
        <f>'aij-UNIFAC (VLE)'!$X14*(1-LN(AA27)-AM27)</f>
        <v>0.25366682281015251</v>
      </c>
      <c r="AZ27" s="283">
        <v>0.55000000000000004</v>
      </c>
      <c r="BA27" s="283">
        <f t="shared" si="0"/>
        <v>0.44999999999999996</v>
      </c>
      <c r="BB27" s="283">
        <f t="shared" si="1"/>
        <v>0.86217359241968317</v>
      </c>
    </row>
    <row r="28" spans="1:54" s="72" customFormat="1" ht="11">
      <c r="A28" s="211">
        <v>11</v>
      </c>
      <c r="B28" s="35" t="str">
        <f>'aij-UNIFAC (VLE)'!V15</f>
        <v>ACCH3</v>
      </c>
      <c r="C28" s="57"/>
      <c r="D28" s="57"/>
      <c r="E28" s="57"/>
      <c r="F28" s="57"/>
      <c r="G28" s="57"/>
      <c r="H28" s="83">
        <f t="array" ref="H28">SUM(C28:G28*$C$21:$G$21)</f>
        <v>0</v>
      </c>
      <c r="I28" s="36" t="str">
        <f t="shared" si="2"/>
        <v>ACCH3</v>
      </c>
      <c r="J28" s="95">
        <f t="shared" si="3"/>
        <v>0</v>
      </c>
      <c r="K28" s="96">
        <f t="shared" si="4"/>
        <v>0</v>
      </c>
      <c r="L28" s="96">
        <f t="shared" si="5"/>
        <v>0</v>
      </c>
      <c r="M28" s="96">
        <f t="shared" si="6"/>
        <v>0</v>
      </c>
      <c r="N28" s="96">
        <f t="shared" si="7"/>
        <v>0</v>
      </c>
      <c r="O28" s="215">
        <f t="shared" si="8"/>
        <v>0</v>
      </c>
      <c r="P28" s="95">
        <f>J28*'aij-UNIFAC (VLE)'!$X15/J$43</f>
        <v>0</v>
      </c>
      <c r="Q28" s="96">
        <f>K28*'aij-UNIFAC (VLE)'!$X15/K$43</f>
        <v>0</v>
      </c>
      <c r="R28" s="96">
        <f>L28*'aij-UNIFAC (VLE)'!$X15/L$43</f>
        <v>0</v>
      </c>
      <c r="S28" s="96">
        <f>M28*'aij-UNIFAC (VLE)'!$X15/M$43</f>
        <v>0</v>
      </c>
      <c r="T28" s="96">
        <f>N28*'aij-UNIFAC (VLE)'!$X15/N$43</f>
        <v>0</v>
      </c>
      <c r="U28" s="98">
        <f>O28*'aij-UNIFAC (VLE)'!$X15/O$43</f>
        <v>0</v>
      </c>
      <c r="V28" s="95">
        <v>0.8099712396808616</v>
      </c>
      <c r="W28" s="96">
        <v>0.29597644216026503</v>
      </c>
      <c r="X28" s="96">
        <v>0.76902888681374781</v>
      </c>
      <c r="Y28" s="99">
        <v>0.53619240201087437</v>
      </c>
      <c r="Z28" s="99">
        <v>0.78141035512753687</v>
      </c>
      <c r="AA28" s="100">
        <v>0.29597644216026503</v>
      </c>
      <c r="AB28" s="216">
        <f t="shared" si="9"/>
        <v>0</v>
      </c>
      <c r="AC28" s="217">
        <f t="shared" si="10"/>
        <v>0</v>
      </c>
      <c r="AD28" s="217">
        <f t="shared" si="11"/>
        <v>0</v>
      </c>
      <c r="AE28" s="217">
        <f t="shared" si="12"/>
        <v>0</v>
      </c>
      <c r="AF28" s="217">
        <f t="shared" si="13"/>
        <v>0</v>
      </c>
      <c r="AG28" s="215">
        <f t="shared" si="14"/>
        <v>0</v>
      </c>
      <c r="AH28" s="95">
        <v>1.147148036653709</v>
      </c>
      <c r="AI28" s="99">
        <v>1.060348768424003E-8</v>
      </c>
      <c r="AJ28" s="99">
        <v>1.1285682814084157</v>
      </c>
      <c r="AK28" s="99">
        <v>1.6163555251008592</v>
      </c>
      <c r="AL28" s="99">
        <v>1.2519845963528329</v>
      </c>
      <c r="AM28" s="100">
        <v>1.0603487684590594E-8</v>
      </c>
      <c r="AN28" s="103">
        <f>'aij-UNIFAC (VLE)'!$X15*(1-LN(V28)-AH28)</f>
        <v>6.1573029799661186E-2</v>
      </c>
      <c r="AO28" s="104">
        <f>'aij-UNIFAC (VLE)'!$X15*(1-LN(W28)-AI28)</f>
        <v>2.1465161915736442</v>
      </c>
      <c r="AP28" s="104">
        <f>'aij-UNIFAC (VLE)'!$X15*(1-LN(X28)-AJ28)</f>
        <v>0.1297685937777939</v>
      </c>
      <c r="AQ28" s="104">
        <f>'aij-UNIFAC (VLE)'!$X15*(1-LN(Y28)-AK28)</f>
        <v>6.6856839014732827E-3</v>
      </c>
      <c r="AR28" s="104">
        <f>'aij-UNIFAC (VLE)'!$X15*(1-LN(Z28)-AL28)</f>
        <v>-5.1591998611914599E-3</v>
      </c>
      <c r="AS28" s="105">
        <f>'aij-UNIFAC (VLE)'!$X15*(1-LN(AA28)-AM28)</f>
        <v>2.1465161915736442</v>
      </c>
      <c r="AZ28" s="283">
        <v>0.6</v>
      </c>
      <c r="BA28" s="283">
        <f t="shared" si="0"/>
        <v>0.4</v>
      </c>
      <c r="BB28" s="283">
        <f t="shared" si="1"/>
        <v>0.7050438051092075</v>
      </c>
    </row>
    <row r="29" spans="1:54" s="72" customFormat="1" ht="11">
      <c r="A29" s="211">
        <v>12</v>
      </c>
      <c r="B29" s="35" t="str">
        <f>'aij-UNIFAC (VLE)'!V16</f>
        <v>ACCH2</v>
      </c>
      <c r="C29" s="57"/>
      <c r="D29" s="57"/>
      <c r="E29" s="57">
        <v>2</v>
      </c>
      <c r="F29" s="57"/>
      <c r="G29" s="57"/>
      <c r="H29" s="83">
        <f t="array" ref="H29">SUM(C29:G29*$C$21:$G$21)</f>
        <v>1.9999999999999999E-20</v>
      </c>
      <c r="I29" s="36" t="str">
        <f t="shared" si="2"/>
        <v>ACCH2</v>
      </c>
      <c r="J29" s="95">
        <f t="shared" si="3"/>
        <v>0</v>
      </c>
      <c r="K29" s="96">
        <f t="shared" si="4"/>
        <v>0</v>
      </c>
      <c r="L29" s="96">
        <f t="shared" si="5"/>
        <v>0.22222222222222221</v>
      </c>
      <c r="M29" s="96">
        <f t="shared" si="6"/>
        <v>0</v>
      </c>
      <c r="N29" s="96">
        <f t="shared" si="7"/>
        <v>0</v>
      </c>
      <c r="O29" s="215">
        <f t="shared" si="8"/>
        <v>1.9999999999999999E-20</v>
      </c>
      <c r="P29" s="95">
        <f>J29*'aij-UNIFAC (VLE)'!$X16/J$43</f>
        <v>0</v>
      </c>
      <c r="Q29" s="96">
        <f>K29*'aij-UNIFAC (VLE)'!$X16/K$43</f>
        <v>0</v>
      </c>
      <c r="R29" s="96">
        <f>L29*'aij-UNIFAC (VLE)'!$X16/L$43</f>
        <v>0.23861171366594364</v>
      </c>
      <c r="S29" s="96">
        <f>M29*'aij-UNIFAC (VLE)'!$X16/M$43</f>
        <v>0</v>
      </c>
      <c r="T29" s="96">
        <f>N29*'aij-UNIFAC (VLE)'!$X16/N$43</f>
        <v>0</v>
      </c>
      <c r="U29" s="98">
        <f>O29*'aij-UNIFAC (VLE)'!$X16/O$43</f>
        <v>9.4285714285714293E-21</v>
      </c>
      <c r="V29" s="95">
        <v>0.8099712396808616</v>
      </c>
      <c r="W29" s="96">
        <v>0.29597644216026503</v>
      </c>
      <c r="X29" s="96">
        <v>0.76902888681374781</v>
      </c>
      <c r="Y29" s="99">
        <v>0.53619240201087437</v>
      </c>
      <c r="Z29" s="99">
        <v>0.78141035512753687</v>
      </c>
      <c r="AA29" s="100">
        <v>0.29597644216026503</v>
      </c>
      <c r="AB29" s="216">
        <f t="shared" si="9"/>
        <v>0</v>
      </c>
      <c r="AC29" s="217">
        <f t="shared" si="10"/>
        <v>0</v>
      </c>
      <c r="AD29" s="217">
        <f t="shared" si="11"/>
        <v>0.31027665898814716</v>
      </c>
      <c r="AE29" s="217">
        <f t="shared" si="12"/>
        <v>0</v>
      </c>
      <c r="AF29" s="217">
        <f t="shared" si="13"/>
        <v>0</v>
      </c>
      <c r="AG29" s="215">
        <f t="shared" si="14"/>
        <v>3.1855817171645224E-20</v>
      </c>
      <c r="AH29" s="95">
        <v>1.147148036653709</v>
      </c>
      <c r="AI29" s="99">
        <v>1.060348768424003E-8</v>
      </c>
      <c r="AJ29" s="99">
        <v>1.1285682814084157</v>
      </c>
      <c r="AK29" s="99">
        <v>1.6163555251008592</v>
      </c>
      <c r="AL29" s="99">
        <v>1.2519845963528329</v>
      </c>
      <c r="AM29" s="100">
        <v>1.0603487684590594E-8</v>
      </c>
      <c r="AN29" s="103">
        <f>'aij-UNIFAC (VLE)'!$X16*(1-LN(V29)-AH29)</f>
        <v>4.1981611227041721E-2</v>
      </c>
      <c r="AO29" s="104">
        <f>'aij-UNIFAC (VLE)'!$X16*(1-LN(W29)-AI29)</f>
        <v>1.4635337669820303</v>
      </c>
      <c r="AP29" s="104">
        <f>'aij-UNIFAC (VLE)'!$X16*(1-LN(X29)-AJ29)</f>
        <v>8.8478586666677669E-2</v>
      </c>
      <c r="AQ29" s="104">
        <f>'aij-UNIFAC (VLE)'!$X16*(1-LN(Y29)-AK29)</f>
        <v>4.5584208419136019E-3</v>
      </c>
      <c r="AR29" s="104">
        <f>'aij-UNIFAC (VLE)'!$X16*(1-LN(Z29)-AL29)</f>
        <v>-3.5176362689941778E-3</v>
      </c>
      <c r="AS29" s="105">
        <f>'aij-UNIFAC (VLE)'!$X16*(1-LN(AA29)-AM29)</f>
        <v>1.4635337669820303</v>
      </c>
      <c r="AZ29" s="283">
        <v>0.65</v>
      </c>
      <c r="BA29" s="283">
        <f t="shared" si="0"/>
        <v>0.35</v>
      </c>
      <c r="BB29" s="283">
        <f t="shared" si="1"/>
        <v>0.55835189906902327</v>
      </c>
    </row>
    <row r="30" spans="1:54" s="72" customFormat="1" ht="11">
      <c r="A30" s="211">
        <v>14</v>
      </c>
      <c r="B30" s="35" t="str">
        <f>'aij-UNIFAC (VLE)'!V17</f>
        <v>OH</v>
      </c>
      <c r="C30" s="57">
        <v>1</v>
      </c>
      <c r="D30" s="57"/>
      <c r="E30" s="57"/>
      <c r="F30" s="57"/>
      <c r="G30" s="57"/>
      <c r="H30" s="83">
        <f t="array" ref="H30">SUM(C30:G30*$C$21:$G$21)</f>
        <v>9.9999999999999995E-21</v>
      </c>
      <c r="I30" s="36" t="str">
        <f t="shared" si="2"/>
        <v>OH</v>
      </c>
      <c r="J30" s="95">
        <f t="shared" si="3"/>
        <v>0.1111111111111111</v>
      </c>
      <c r="K30" s="96">
        <f t="shared" si="4"/>
        <v>0</v>
      </c>
      <c r="L30" s="96">
        <f t="shared" si="5"/>
        <v>0</v>
      </c>
      <c r="M30" s="96">
        <f t="shared" si="6"/>
        <v>0</v>
      </c>
      <c r="N30" s="96">
        <f t="shared" si="7"/>
        <v>0</v>
      </c>
      <c r="O30" s="215">
        <f t="shared" si="8"/>
        <v>9.9999999999999995E-21</v>
      </c>
      <c r="P30" s="95">
        <f>J30*'aij-UNIFAC (VLE)'!$X17/J$43</f>
        <v>0.20590253946465339</v>
      </c>
      <c r="Q30" s="96">
        <f>K30*'aij-UNIFAC (VLE)'!$X17/K$43</f>
        <v>0</v>
      </c>
      <c r="R30" s="96">
        <f>L30*'aij-UNIFAC (VLE)'!$X17/L$43</f>
        <v>0</v>
      </c>
      <c r="S30" s="96">
        <f>M30*'aij-UNIFAC (VLE)'!$X17/M$43</f>
        <v>0</v>
      </c>
      <c r="T30" s="96">
        <f>N30*'aij-UNIFAC (VLE)'!$X17/N$43</f>
        <v>0</v>
      </c>
      <c r="U30" s="98">
        <f>O30*'aij-UNIFAC (VLE)'!$X17/O$43</f>
        <v>8.5714285714285725E-21</v>
      </c>
      <c r="V30" s="95">
        <v>0.23890186731370472</v>
      </c>
      <c r="W30" s="96">
        <v>2.0931598930844642</v>
      </c>
      <c r="X30" s="96">
        <v>0.4255620924421285</v>
      </c>
      <c r="Y30" s="99">
        <v>0.32447266308107492</v>
      </c>
      <c r="Z30" s="99">
        <v>4.1555765493576279E-2</v>
      </c>
      <c r="AA30" s="100">
        <v>2.0931598930844642</v>
      </c>
      <c r="AB30" s="216">
        <f t="shared" si="9"/>
        <v>0.86187078309555643</v>
      </c>
      <c r="AC30" s="217">
        <f t="shared" si="10"/>
        <v>0</v>
      </c>
      <c r="AD30" s="217">
        <f t="shared" si="11"/>
        <v>0</v>
      </c>
      <c r="AE30" s="217">
        <f t="shared" si="12"/>
        <v>0</v>
      </c>
      <c r="AF30" s="217">
        <f t="shared" si="13"/>
        <v>0</v>
      </c>
      <c r="AG30" s="215">
        <f t="shared" si="14"/>
        <v>4.0949707663267816E-21</v>
      </c>
      <c r="AH30" s="95">
        <v>1.3840445926813811</v>
      </c>
      <c r="AI30" s="99">
        <v>0.31989224364388619</v>
      </c>
      <c r="AJ30" s="99">
        <v>1.0213473091967742</v>
      </c>
      <c r="AK30" s="99">
        <v>0.93970614099104521</v>
      </c>
      <c r="AL30" s="99">
        <v>0.60394501111602583</v>
      </c>
      <c r="AM30" s="100">
        <v>0.31989224364388619</v>
      </c>
      <c r="AN30" s="103">
        <f>'aij-UNIFAC (VLE)'!$X17*(1-LN(V30)-AH30)</f>
        <v>1.2571893788412816</v>
      </c>
      <c r="AO30" s="104">
        <f>'aij-UNIFAC (VLE)'!$X17*(1-LN(W30)-AI30)</f>
        <v>-7.0280494081513892E-2</v>
      </c>
      <c r="AP30" s="104">
        <f>'aij-UNIFAC (VLE)'!$X17*(1-LN(X30)-AJ30)</f>
        <v>0.99959652508175978</v>
      </c>
      <c r="AQ30" s="104">
        <f>'aij-UNIFAC (VLE)'!$X17*(1-LN(Y30)-AK30)</f>
        <v>1.4230174183166675</v>
      </c>
      <c r="AR30" s="104">
        <f>'aij-UNIFAC (VLE)'!$X17*(1-LN(Z30)-AL30)</f>
        <v>4.2921287949793241</v>
      </c>
      <c r="AS30" s="105">
        <f>'aij-UNIFAC (VLE)'!$X17*(1-LN(AA30)-AM30)</f>
        <v>-7.0280494081513892E-2</v>
      </c>
      <c r="AZ30" s="283">
        <v>0.7</v>
      </c>
      <c r="BA30" s="283">
        <f t="shared" si="0"/>
        <v>0.30000000000000004</v>
      </c>
      <c r="BB30" s="283">
        <f t="shared" si="1"/>
        <v>0.42267730203395437</v>
      </c>
    </row>
    <row r="31" spans="1:54" s="72" customFormat="1" ht="11">
      <c r="A31" s="211">
        <v>15</v>
      </c>
      <c r="B31" s="35" t="str">
        <f>'aij-UNIFAC (VLE)'!V18</f>
        <v>CH3OH</v>
      </c>
      <c r="C31" s="57"/>
      <c r="D31" s="57"/>
      <c r="E31" s="57"/>
      <c r="F31" s="57"/>
      <c r="G31" s="57"/>
      <c r="H31" s="83">
        <f t="array" ref="H31">SUM(C31:G31*$C$21:$G$21)</f>
        <v>0</v>
      </c>
      <c r="I31" s="36" t="str">
        <f t="shared" si="2"/>
        <v>CH3OH</v>
      </c>
      <c r="J31" s="95">
        <f t="shared" si="3"/>
        <v>0</v>
      </c>
      <c r="K31" s="96">
        <f t="shared" si="4"/>
        <v>0</v>
      </c>
      <c r="L31" s="96">
        <f t="shared" si="5"/>
        <v>0</v>
      </c>
      <c r="M31" s="96">
        <f t="shared" si="6"/>
        <v>0</v>
      </c>
      <c r="N31" s="96">
        <f t="shared" si="7"/>
        <v>0</v>
      </c>
      <c r="O31" s="215">
        <f t="shared" si="8"/>
        <v>0</v>
      </c>
      <c r="P31" s="95">
        <f>J31*'aij-UNIFAC (VLE)'!$X18/J$43</f>
        <v>0</v>
      </c>
      <c r="Q31" s="96">
        <f>K31*'aij-UNIFAC (VLE)'!$X18/K$43</f>
        <v>0</v>
      </c>
      <c r="R31" s="96">
        <f>L31*'aij-UNIFAC (VLE)'!$X18/L$43</f>
        <v>0</v>
      </c>
      <c r="S31" s="96">
        <f>M31*'aij-UNIFAC (VLE)'!$X18/M$43</f>
        <v>0</v>
      </c>
      <c r="T31" s="96">
        <f>N31*'aij-UNIFAC (VLE)'!$X18/N$43</f>
        <v>0</v>
      </c>
      <c r="U31" s="98">
        <f>O31*'aij-UNIFAC (VLE)'!$X18/O$43</f>
        <v>0</v>
      </c>
      <c r="V31" s="95">
        <v>0.40423003221425802</v>
      </c>
      <c r="W31" s="96">
        <v>0.39308015236536015</v>
      </c>
      <c r="X31" s="96">
        <v>0.17165257151496427</v>
      </c>
      <c r="Y31" s="99">
        <v>0.41539375953392754</v>
      </c>
      <c r="Z31" s="99">
        <v>0.10561609094308702</v>
      </c>
      <c r="AA31" s="100">
        <v>0.39308015236536015</v>
      </c>
      <c r="AB31" s="216">
        <f t="shared" si="9"/>
        <v>0</v>
      </c>
      <c r="AC31" s="217">
        <f t="shared" si="10"/>
        <v>0</v>
      </c>
      <c r="AD31" s="217">
        <f t="shared" si="11"/>
        <v>0</v>
      </c>
      <c r="AE31" s="217">
        <f t="shared" si="12"/>
        <v>0</v>
      </c>
      <c r="AF31" s="217">
        <f t="shared" si="13"/>
        <v>0</v>
      </c>
      <c r="AG31" s="215">
        <f t="shared" si="14"/>
        <v>0</v>
      </c>
      <c r="AH31" s="95">
        <v>1.2058253094344062</v>
      </c>
      <c r="AI31" s="99">
        <v>1.7924592975844713</v>
      </c>
      <c r="AJ31" s="99">
        <v>2.2767447665292471</v>
      </c>
      <c r="AK31" s="99">
        <v>1.2503448714973093</v>
      </c>
      <c r="AL31" s="99">
        <v>0.94815972280421845</v>
      </c>
      <c r="AM31" s="100">
        <v>1.7924592975844713</v>
      </c>
      <c r="AN31" s="103">
        <f>'aij-UNIFAC (VLE)'!$X18*(1-LN(V31)-AH31)</f>
        <v>1.0023224814820071</v>
      </c>
      <c r="AO31" s="104">
        <f>'aij-UNIFAC (VLE)'!$X18*(1-LN(W31)-AI31)</f>
        <v>0.20231645448712052</v>
      </c>
      <c r="AP31" s="104">
        <f>'aij-UNIFAC (VLE)'!$X18*(1-LN(X31)-AJ31)</f>
        <v>0.69529043247960398</v>
      </c>
      <c r="AQ31" s="104">
        <f>'aij-UNIFAC (VLE)'!$X18*(1-LN(Y31)-AK31)</f>
        <v>0.89955879912710324</v>
      </c>
      <c r="AR31" s="104">
        <f>'aij-UNIFAC (VLE)'!$X18*(1-LN(Z31)-AL31)</f>
        <v>3.2932918624674934</v>
      </c>
      <c r="AS31" s="105">
        <f>'aij-UNIFAC (VLE)'!$X18*(1-LN(AA31)-AM31)</f>
        <v>0.20231645448712052</v>
      </c>
      <c r="AZ31" s="283">
        <v>0.75</v>
      </c>
      <c r="BA31" s="283">
        <f t="shared" si="0"/>
        <v>0.25</v>
      </c>
      <c r="BB31" s="283">
        <f t="shared" si="1"/>
        <v>0.29894952545523151</v>
      </c>
    </row>
    <row r="32" spans="1:54" s="72" customFormat="1" ht="13">
      <c r="A32" s="211">
        <v>16</v>
      </c>
      <c r="B32" s="35" t="str">
        <f>'aij-UNIFAC (VLE)'!V19</f>
        <v>H2O</v>
      </c>
      <c r="C32" s="57"/>
      <c r="D32" s="57">
        <v>1</v>
      </c>
      <c r="E32" s="57"/>
      <c r="F32" s="57"/>
      <c r="G32" s="57"/>
      <c r="H32" s="83">
        <f t="array" ref="H32">SUM(C32:G32*$C$21:$G$21)</f>
        <v>1</v>
      </c>
      <c r="I32" s="36" t="str">
        <f t="shared" si="2"/>
        <v>H2O</v>
      </c>
      <c r="J32" s="95">
        <f t="shared" si="3"/>
        <v>0</v>
      </c>
      <c r="K32" s="96">
        <f t="shared" si="4"/>
        <v>1</v>
      </c>
      <c r="L32" s="96">
        <f t="shared" si="5"/>
        <v>0</v>
      </c>
      <c r="M32" s="96">
        <f t="shared" si="6"/>
        <v>0</v>
      </c>
      <c r="N32" s="96">
        <f t="shared" si="7"/>
        <v>0</v>
      </c>
      <c r="O32" s="215">
        <f t="shared" si="8"/>
        <v>1</v>
      </c>
      <c r="P32" s="95">
        <f>J32*'aij-UNIFAC (VLE)'!$X19/J$43</f>
        <v>0</v>
      </c>
      <c r="Q32" s="96">
        <f>K32*'aij-UNIFAC (VLE)'!$X19/K$43</f>
        <v>1</v>
      </c>
      <c r="R32" s="96">
        <f>L32*'aij-UNIFAC (VLE)'!$X19/L$43</f>
        <v>0</v>
      </c>
      <c r="S32" s="96">
        <f>M32*'aij-UNIFAC (VLE)'!$X19/M$43</f>
        <v>0</v>
      </c>
      <c r="T32" s="96">
        <f>N32*'aij-UNIFAC (VLE)'!$X19/N$43</f>
        <v>0</v>
      </c>
      <c r="U32" s="98">
        <f>O32*'aij-UNIFAC (VLE)'!$X19/O$43</f>
        <v>1</v>
      </c>
      <c r="V32" s="95">
        <v>7.719884008609558E-2</v>
      </c>
      <c r="W32" s="96">
        <v>1</v>
      </c>
      <c r="X32" s="96">
        <v>0.29314911545066796</v>
      </c>
      <c r="Y32" s="99">
        <v>0.11965504380997578</v>
      </c>
      <c r="Z32" s="99">
        <v>1.4270559129019351E-2</v>
      </c>
      <c r="AA32" s="100">
        <v>1</v>
      </c>
      <c r="AB32" s="216">
        <f t="shared" si="9"/>
        <v>0</v>
      </c>
      <c r="AC32" s="217">
        <f t="shared" si="10"/>
        <v>1</v>
      </c>
      <c r="AD32" s="217">
        <f t="shared" si="11"/>
        <v>0</v>
      </c>
      <c r="AE32" s="217">
        <f t="shared" si="12"/>
        <v>0</v>
      </c>
      <c r="AF32" s="217">
        <f t="shared" si="13"/>
        <v>0</v>
      </c>
      <c r="AG32" s="215">
        <f t="shared" si="14"/>
        <v>1</v>
      </c>
      <c r="AH32" s="95">
        <v>2.1326851220286018</v>
      </c>
      <c r="AI32" s="99">
        <v>1</v>
      </c>
      <c r="AJ32" s="99">
        <v>1.0114557853071924</v>
      </c>
      <c r="AK32" s="99">
        <v>1.7553480961346974</v>
      </c>
      <c r="AL32" s="99">
        <v>0.38011786635938943</v>
      </c>
      <c r="AM32" s="100">
        <v>1</v>
      </c>
      <c r="AN32" s="103">
        <f>'aij-UNIFAC (VLE)'!$X19*(1-LN(V32)-AH32)</f>
        <v>2.0001600147580603</v>
      </c>
      <c r="AO32" s="104">
        <f>'aij-UNIFAC (VLE)'!$X19*(1-LN(W32)-AI32)</f>
        <v>0</v>
      </c>
      <c r="AP32" s="104">
        <f>'aij-UNIFAC (VLE)'!$X19*(1-LN(X32)-AJ32)</f>
        <v>1.7018653227299241</v>
      </c>
      <c r="AQ32" s="104">
        <f>'aij-UNIFAC (VLE)'!$X19*(1-LN(Y32)-AK32)</f>
        <v>1.9149119005527449</v>
      </c>
      <c r="AR32" s="104">
        <f>'aij-UNIFAC (VLE)'!$X19*(1-LN(Z32)-AL32)</f>
        <v>6.8172143196778627</v>
      </c>
      <c r="AS32" s="105">
        <f>'aij-UNIFAC (VLE)'!$X19*(1-LN(AA32)-AM32)</f>
        <v>0</v>
      </c>
      <c r="AT32" s="202"/>
      <c r="AU32" s="202"/>
      <c r="AZ32" s="283">
        <v>0.8</v>
      </c>
      <c r="BA32" s="283">
        <f t="shared" si="0"/>
        <v>0.19999999999999996</v>
      </c>
      <c r="BB32" s="283">
        <f t="shared" si="1"/>
        <v>0.18862531252104386</v>
      </c>
    </row>
    <row r="33" spans="1:110" s="72" customFormat="1" ht="13">
      <c r="A33" s="211">
        <v>17</v>
      </c>
      <c r="B33" s="35" t="str">
        <f>'aij-UNIFAC (VLE)'!V20</f>
        <v>ACOH</v>
      </c>
      <c r="C33" s="57"/>
      <c r="D33" s="57"/>
      <c r="E33" s="57"/>
      <c r="F33" s="57"/>
      <c r="G33" s="57"/>
      <c r="H33" s="83">
        <f t="array" ref="H33">SUM(C33:G33*$C$21:$G$21)</f>
        <v>0</v>
      </c>
      <c r="I33" s="36" t="str">
        <f t="shared" si="2"/>
        <v>ACOH</v>
      </c>
      <c r="J33" s="95">
        <f t="shared" si="3"/>
        <v>0</v>
      </c>
      <c r="K33" s="96">
        <f t="shared" si="4"/>
        <v>0</v>
      </c>
      <c r="L33" s="96">
        <f t="shared" si="5"/>
        <v>0</v>
      </c>
      <c r="M33" s="96">
        <f t="shared" si="6"/>
        <v>0</v>
      </c>
      <c r="N33" s="96">
        <f t="shared" si="7"/>
        <v>0</v>
      </c>
      <c r="O33" s="215">
        <f t="shared" si="8"/>
        <v>0</v>
      </c>
      <c r="P33" s="95">
        <f>J33*'aij-UNIFAC (VLE)'!$X20/J$43</f>
        <v>0</v>
      </c>
      <c r="Q33" s="96">
        <f>K33*'aij-UNIFAC (VLE)'!$X20/K$43</f>
        <v>0</v>
      </c>
      <c r="R33" s="96">
        <f>L33*'aij-UNIFAC (VLE)'!$X20/L$43</f>
        <v>0</v>
      </c>
      <c r="S33" s="96">
        <f>M33*'aij-UNIFAC (VLE)'!$X20/M$43</f>
        <v>0</v>
      </c>
      <c r="T33" s="96">
        <f>N33*'aij-UNIFAC (VLE)'!$X20/N$43</f>
        <v>0</v>
      </c>
      <c r="U33" s="98">
        <f>O33*'aij-UNIFAC (VLE)'!$X20/O$43</f>
        <v>0</v>
      </c>
      <c r="V33" s="95">
        <v>0.48647450669314357</v>
      </c>
      <c r="W33" s="96">
        <v>0.35124617963749122</v>
      </c>
      <c r="X33" s="96">
        <v>0.25040046477516981</v>
      </c>
      <c r="Y33" s="99">
        <v>0.80123839889344417</v>
      </c>
      <c r="Z33" s="99">
        <v>1.3596806076794603E-2</v>
      </c>
      <c r="AA33" s="100">
        <v>0.35124617963749122</v>
      </c>
      <c r="AB33" s="216">
        <f t="shared" si="9"/>
        <v>0</v>
      </c>
      <c r="AC33" s="217">
        <f t="shared" si="10"/>
        <v>0</v>
      </c>
      <c r="AD33" s="217">
        <f t="shared" si="11"/>
        <v>0</v>
      </c>
      <c r="AE33" s="217">
        <f t="shared" si="12"/>
        <v>0</v>
      </c>
      <c r="AF33" s="217">
        <f t="shared" si="13"/>
        <v>0</v>
      </c>
      <c r="AG33" s="215">
        <f t="shared" si="14"/>
        <v>0</v>
      </c>
      <c r="AH33" s="95">
        <v>4.0519454549444385</v>
      </c>
      <c r="AI33" s="99">
        <v>6.9611970037077002</v>
      </c>
      <c r="AJ33" s="99">
        <v>0.69093320827751348</v>
      </c>
      <c r="AK33" s="99">
        <v>2.8324908426992734</v>
      </c>
      <c r="AL33" s="99">
        <v>0.41096503607514018</v>
      </c>
      <c r="AM33" s="100">
        <v>6.9611970037077002</v>
      </c>
      <c r="AN33" s="103">
        <f>'aij-UNIFAC (VLE)'!$X20*(1-LN(V33)-AH33)</f>
        <v>-1.585334778838442</v>
      </c>
      <c r="AO33" s="104">
        <f>'aij-UNIFAC (VLE)'!$X20*(1-LN(W33)-AI33)</f>
        <v>-3.3421517668094838</v>
      </c>
      <c r="AP33" s="104">
        <f>'aij-UNIFAC (VLE)'!$X20*(1-LN(X33)-AJ33)</f>
        <v>1.1517571912376825</v>
      </c>
      <c r="AQ33" s="104">
        <f>'aij-UNIFAC (VLE)'!$X20*(1-LN(Y33)-AK33)</f>
        <v>-1.095407983299205</v>
      </c>
      <c r="AR33" s="104">
        <f>'aij-UNIFAC (VLE)'!$X20*(1-LN(Z33)-AL33)</f>
        <v>3.3231296210275056</v>
      </c>
      <c r="AS33" s="105">
        <f>'aij-UNIFAC (VLE)'!$X20*(1-LN(AA33)-AM33)</f>
        <v>-3.3421517668094838</v>
      </c>
      <c r="AT33" s="202"/>
      <c r="AU33" s="202"/>
      <c r="AZ33" s="283">
        <v>0.85</v>
      </c>
      <c r="BA33" s="283">
        <f t="shared" si="0"/>
        <v>0.15000000000000002</v>
      </c>
      <c r="BB33" s="283">
        <f t="shared" si="1"/>
        <v>9.4061714238433014E-2</v>
      </c>
    </row>
    <row r="34" spans="1:110" s="72" customFormat="1" ht="13">
      <c r="A34" s="211">
        <v>18</v>
      </c>
      <c r="B34" s="35" t="str">
        <f>'aij-UNIFAC (VLE)'!V21</f>
        <v>CH3CO</v>
      </c>
      <c r="C34" s="57"/>
      <c r="D34" s="57"/>
      <c r="E34" s="57"/>
      <c r="F34" s="57">
        <v>1</v>
      </c>
      <c r="G34" s="57"/>
      <c r="H34" s="83">
        <f t="array" ref="H34">SUM(C34:G34*$C$21:$G$21)</f>
        <v>9.9999999999999995E-21</v>
      </c>
      <c r="I34" s="36" t="str">
        <f t="shared" si="2"/>
        <v>CH3CO</v>
      </c>
      <c r="J34" s="95">
        <f t="shared" si="3"/>
        <v>0</v>
      </c>
      <c r="K34" s="96">
        <f t="shared" si="4"/>
        <v>0</v>
      </c>
      <c r="L34" s="96">
        <f t="shared" si="5"/>
        <v>0</v>
      </c>
      <c r="M34" s="96">
        <f t="shared" si="6"/>
        <v>0.33333333333333331</v>
      </c>
      <c r="N34" s="96">
        <f t="shared" si="7"/>
        <v>0</v>
      </c>
      <c r="O34" s="215">
        <f t="shared" si="8"/>
        <v>9.9999999999999995E-21</v>
      </c>
      <c r="P34" s="95">
        <f>J34*'aij-UNIFAC (VLE)'!$X21/J$43</f>
        <v>0</v>
      </c>
      <c r="Q34" s="96">
        <f>K34*'aij-UNIFAC (VLE)'!$X21/K$43</f>
        <v>0</v>
      </c>
      <c r="R34" s="96">
        <f>L34*'aij-UNIFAC (VLE)'!$X21/L$43</f>
        <v>0</v>
      </c>
      <c r="S34" s="96">
        <f>M34*'aij-UNIFAC (VLE)'!$X21/M$43</f>
        <v>0.51738525730180818</v>
      </c>
      <c r="T34" s="96">
        <f>N34*'aij-UNIFAC (VLE)'!$X21/N$43</f>
        <v>0</v>
      </c>
      <c r="U34" s="98">
        <f>O34*'aij-UNIFAC (VLE)'!$X21/O$43</f>
        <v>1.0628571428571428E-20</v>
      </c>
      <c r="V34" s="95">
        <v>0.3279668382345905</v>
      </c>
      <c r="W34" s="96">
        <v>1.8776438758942042</v>
      </c>
      <c r="X34" s="96">
        <v>1.1803903217585832</v>
      </c>
      <c r="Y34" s="99">
        <v>0.62126020487273781</v>
      </c>
      <c r="Z34" s="99">
        <v>0.21523368098990883</v>
      </c>
      <c r="AA34" s="100">
        <v>1.8776438758942042</v>
      </c>
      <c r="AB34" s="216">
        <f t="shared" si="9"/>
        <v>0</v>
      </c>
      <c r="AC34" s="217">
        <f t="shared" si="10"/>
        <v>0</v>
      </c>
      <c r="AD34" s="217">
        <f t="shared" si="11"/>
        <v>0</v>
      </c>
      <c r="AE34" s="217">
        <f t="shared" si="12"/>
        <v>0.83279961156982862</v>
      </c>
      <c r="AF34" s="217">
        <f t="shared" si="13"/>
        <v>0</v>
      </c>
      <c r="AG34" s="215">
        <f t="shared" si="14"/>
        <v>5.6605896171390359E-21</v>
      </c>
      <c r="AH34" s="95">
        <v>1.3002380572136782</v>
      </c>
      <c r="AI34" s="99">
        <v>0.21795723785377114</v>
      </c>
      <c r="AJ34" s="99">
        <v>0.59763915819810798</v>
      </c>
      <c r="AK34" s="99">
        <v>1.2953003878443843</v>
      </c>
      <c r="AL34" s="99">
        <v>0.91733657770990207</v>
      </c>
      <c r="AM34" s="100">
        <v>0.21795723785377114</v>
      </c>
      <c r="AN34" s="103">
        <f>'aij-UNIFAC (VLE)'!$X21*(1-LN(V34)-AH34)</f>
        <v>1.2121318255010596</v>
      </c>
      <c r="AO34" s="104">
        <f>'aij-UNIFAC (VLE)'!$X21*(1-LN(W34)-AI34)</f>
        <v>0.22621324284160396</v>
      </c>
      <c r="AP34" s="104">
        <f>'aij-UNIFAC (VLE)'!$X21*(1-LN(X34)-AJ34)</f>
        <v>0.35193532718107312</v>
      </c>
      <c r="AQ34" s="104">
        <f>'aij-UNIFAC (VLE)'!$X21*(1-LN(Y34)-AK34)</f>
        <v>0.26888887261088895</v>
      </c>
      <c r="AR34" s="104">
        <f>'aij-UNIFAC (VLE)'!$X21*(1-LN(Z34)-AL34)</f>
        <v>2.4086172300816751</v>
      </c>
      <c r="AS34" s="105">
        <f>'aij-UNIFAC (VLE)'!$X21*(1-LN(AA34)-AM34)</f>
        <v>0.22621324284160396</v>
      </c>
      <c r="AT34" s="202"/>
      <c r="AU34" s="202"/>
      <c r="AZ34" s="283">
        <v>0.9</v>
      </c>
      <c r="BA34" s="283">
        <f t="shared" si="0"/>
        <v>9.9999999999999978E-2</v>
      </c>
      <c r="BB34" s="283">
        <f t="shared" si="1"/>
        <v>1.9430894638167689E-2</v>
      </c>
    </row>
    <row r="35" spans="1:110" s="72" customFormat="1" ht="13">
      <c r="A35" s="211">
        <v>20</v>
      </c>
      <c r="B35" s="35" t="str">
        <f>'aij-UNIFAC (VLE)'!V22</f>
        <v>CHO</v>
      </c>
      <c r="C35" s="57"/>
      <c r="D35" s="57"/>
      <c r="E35" s="57"/>
      <c r="F35" s="57"/>
      <c r="G35" s="57"/>
      <c r="H35" s="83">
        <f t="array" ref="H35">SUM(C35:G35*$C$21:$G$21)</f>
        <v>0</v>
      </c>
      <c r="I35" s="36" t="str">
        <f t="shared" si="2"/>
        <v>CHO</v>
      </c>
      <c r="J35" s="95">
        <f t="shared" si="3"/>
        <v>0</v>
      </c>
      <c r="K35" s="96">
        <f t="shared" si="4"/>
        <v>0</v>
      </c>
      <c r="L35" s="96">
        <f t="shared" si="5"/>
        <v>0</v>
      </c>
      <c r="M35" s="96">
        <f t="shared" si="6"/>
        <v>0</v>
      </c>
      <c r="N35" s="96">
        <f t="shared" si="7"/>
        <v>0</v>
      </c>
      <c r="O35" s="215">
        <f t="shared" si="8"/>
        <v>0</v>
      </c>
      <c r="P35" s="95">
        <f>J35*'aij-UNIFAC (VLE)'!$X22/J$43</f>
        <v>0</v>
      </c>
      <c r="Q35" s="96">
        <f>K35*'aij-UNIFAC (VLE)'!$X22/K$43</f>
        <v>0</v>
      </c>
      <c r="R35" s="96">
        <f>L35*'aij-UNIFAC (VLE)'!$X22/L$43</f>
        <v>0</v>
      </c>
      <c r="S35" s="96">
        <f>M35*'aij-UNIFAC (VLE)'!$X22/M$43</f>
        <v>0</v>
      </c>
      <c r="T35" s="96">
        <f>N35*'aij-UNIFAC (VLE)'!$X22/N$43</f>
        <v>0</v>
      </c>
      <c r="U35" s="98">
        <f>O35*'aij-UNIFAC (VLE)'!$X22/O$43</f>
        <v>0</v>
      </c>
      <c r="V35" s="95">
        <v>0.48648319685448699</v>
      </c>
      <c r="W35" s="96">
        <v>1.4535554281628924</v>
      </c>
      <c r="X35" s="96">
        <v>0.53593445390942407</v>
      </c>
      <c r="Y35" s="99">
        <v>0.63801955671871513</v>
      </c>
      <c r="Z35" s="99">
        <v>0.11272379245419735</v>
      </c>
      <c r="AA35" s="100">
        <v>1.4535554281628924</v>
      </c>
      <c r="AB35" s="216">
        <f t="shared" si="9"/>
        <v>0</v>
      </c>
      <c r="AC35" s="217">
        <f t="shared" si="10"/>
        <v>0</v>
      </c>
      <c r="AD35" s="217">
        <f t="shared" si="11"/>
        <v>0</v>
      </c>
      <c r="AE35" s="217">
        <f t="shared" si="12"/>
        <v>0</v>
      </c>
      <c r="AF35" s="217">
        <f t="shared" si="13"/>
        <v>0</v>
      </c>
      <c r="AG35" s="215">
        <f t="shared" si="14"/>
        <v>0</v>
      </c>
      <c r="AH35" s="95">
        <v>0.32588297524406518</v>
      </c>
      <c r="AI35" s="99">
        <v>0.2122017859198112</v>
      </c>
      <c r="AJ35" s="99">
        <v>0.66719894006563907</v>
      </c>
      <c r="AK35" s="99">
        <v>0.64992931580146029</v>
      </c>
      <c r="AL35" s="99">
        <v>0.19583136547813862</v>
      </c>
      <c r="AM35" s="100">
        <v>0.2122017859198112</v>
      </c>
      <c r="AN35" s="103">
        <f>'aij-UNIFAC (VLE)'!$X22*(1-LN(V35)-AH35)</f>
        <v>1.3221471045876836</v>
      </c>
      <c r="AO35" s="104">
        <f>'aij-UNIFAC (VLE)'!$X22*(1-LN(W35)-AI35)</f>
        <v>0.39226878626447859</v>
      </c>
      <c r="AP35" s="104">
        <f>'aij-UNIFAC (VLE)'!$X22*(1-LN(X35)-AJ35)</f>
        <v>0.90680416021993404</v>
      </c>
      <c r="AQ35" s="104">
        <f>'aij-UNIFAC (VLE)'!$X22*(1-LN(Y35)-AK35)</f>
        <v>0.75788526173019422</v>
      </c>
      <c r="AR35" s="104">
        <f>'aij-UNIFAC (VLE)'!$X22*(1-LN(Z35)-AL35)</f>
        <v>2.8316602646884208</v>
      </c>
      <c r="AS35" s="105">
        <f>'aij-UNIFAC (VLE)'!$X22*(1-LN(AA35)-AM35)</f>
        <v>0.39226878626447859</v>
      </c>
      <c r="AT35" s="202"/>
      <c r="AU35" s="202"/>
      <c r="AZ35" s="283">
        <v>0.95</v>
      </c>
      <c r="BA35" s="283">
        <f t="shared" si="0"/>
        <v>5.0000000000000044E-2</v>
      </c>
      <c r="BB35" s="283">
        <f t="shared" si="1"/>
        <v>-2.6258309331064544E-2</v>
      </c>
    </row>
    <row r="36" spans="1:110">
      <c r="A36" s="211">
        <v>21</v>
      </c>
      <c r="B36" s="35" t="str">
        <f>'aij-UNIFAC (VLE)'!V23</f>
        <v>CH3COO</v>
      </c>
      <c r="C36" s="57"/>
      <c r="D36" s="57"/>
      <c r="E36" s="57"/>
      <c r="F36" s="57"/>
      <c r="G36" s="57"/>
      <c r="H36" s="83">
        <f t="array" ref="H36">SUM(C36:G36*$C$21:$G$21)</f>
        <v>0</v>
      </c>
      <c r="I36" s="36" t="str">
        <f t="shared" si="2"/>
        <v>CH3COO</v>
      </c>
      <c r="J36" s="95">
        <f t="shared" si="3"/>
        <v>0</v>
      </c>
      <c r="K36" s="96">
        <f t="shared" si="4"/>
        <v>0</v>
      </c>
      <c r="L36" s="96">
        <f t="shared" si="5"/>
        <v>0</v>
      </c>
      <c r="M36" s="96">
        <f t="shared" si="6"/>
        <v>0</v>
      </c>
      <c r="N36" s="96">
        <f t="shared" si="7"/>
        <v>0</v>
      </c>
      <c r="O36" s="215">
        <f t="shared" si="8"/>
        <v>0</v>
      </c>
      <c r="P36" s="95">
        <f>J36*'aij-UNIFAC (VLE)'!$X23/J$43</f>
        <v>0</v>
      </c>
      <c r="Q36" s="96">
        <f>K36*'aij-UNIFAC (VLE)'!$X23/K$43</f>
        <v>0</v>
      </c>
      <c r="R36" s="96">
        <f>L36*'aij-UNIFAC (VLE)'!$X23/L$43</f>
        <v>0</v>
      </c>
      <c r="S36" s="96">
        <f>M36*'aij-UNIFAC (VLE)'!$X23/M$43</f>
        <v>0</v>
      </c>
      <c r="T36" s="96">
        <f>N36*'aij-UNIFAC (VLE)'!$X23/N$43</f>
        <v>0</v>
      </c>
      <c r="U36" s="98">
        <f>O36*'aij-UNIFAC (VLE)'!$X23/O$43</f>
        <v>0</v>
      </c>
      <c r="V36" s="95">
        <v>0.52435121181359279</v>
      </c>
      <c r="W36" s="96">
        <v>0.79060972276064601</v>
      </c>
      <c r="X36" s="96">
        <v>0.90798398505263278</v>
      </c>
      <c r="Y36" s="99">
        <v>1.258858194980264</v>
      </c>
      <c r="Z36" s="99">
        <v>0.47314774888694827</v>
      </c>
      <c r="AA36" s="100">
        <v>0.79060972276064601</v>
      </c>
      <c r="AB36" s="216">
        <f t="shared" si="9"/>
        <v>0</v>
      </c>
      <c r="AC36" s="217">
        <f t="shared" si="10"/>
        <v>0</v>
      </c>
      <c r="AD36" s="217">
        <f t="shared" si="11"/>
        <v>0</v>
      </c>
      <c r="AE36" s="217">
        <f t="shared" si="12"/>
        <v>0</v>
      </c>
      <c r="AF36" s="217">
        <f t="shared" si="13"/>
        <v>0</v>
      </c>
      <c r="AG36" s="215">
        <f t="shared" si="14"/>
        <v>0</v>
      </c>
      <c r="AH36" s="95">
        <v>0.98780132235522822</v>
      </c>
      <c r="AI36" s="99">
        <v>0.5233898593992008</v>
      </c>
      <c r="AJ36" s="99">
        <v>1.0134876274773348</v>
      </c>
      <c r="AK36" s="99">
        <v>0.59902122910256583</v>
      </c>
      <c r="AL36" s="99">
        <v>0.69063523190218212</v>
      </c>
      <c r="AM36" s="100">
        <v>0.5233898593992008</v>
      </c>
      <c r="AN36" s="103">
        <f>'aij-UNIFAC (VLE)'!$X23*(1-LN(V36)-AH36)</f>
        <v>1.1366649998290894</v>
      </c>
      <c r="AO36" s="104">
        <f>'aij-UNIFAC (VLE)'!$X23*(1-LN(W36)-AI36)</f>
        <v>1.2295773576188291</v>
      </c>
      <c r="AP36" s="104">
        <f>'aij-UNIFAC (VLE)'!$X23*(1-LN(X36)-AJ36)</f>
        <v>0.1434946936313421</v>
      </c>
      <c r="AQ36" s="104">
        <f>'aij-UNIFAC (VLE)'!$X23*(1-LN(Y36)-AK36)</f>
        <v>0.29509687624880343</v>
      </c>
      <c r="AR36" s="104">
        <f>'aij-UNIFAC (VLE)'!$X23*(1-LN(Z36)-AL36)</f>
        <v>1.8277269267210381</v>
      </c>
      <c r="AS36" s="105">
        <f>'aij-UNIFAC (VLE)'!$X23*(1-LN(AA36)-AM36)</f>
        <v>1.2295773576188291</v>
      </c>
      <c r="AT36" s="202"/>
      <c r="AU36" s="202"/>
      <c r="AZ36" s="283">
        <v>1</v>
      </c>
      <c r="BA36" s="286">
        <v>9.9999999999999995E-21</v>
      </c>
      <c r="BB36" s="283">
        <f t="shared" si="1"/>
        <v>-4.2606563179584754E-19</v>
      </c>
    </row>
    <row r="37" spans="1:110">
      <c r="A37" s="211">
        <v>29</v>
      </c>
      <c r="B37" s="35" t="str">
        <f>'aij-UNIFAC (VLE)'!V24</f>
        <v>CH2NH2</v>
      </c>
      <c r="C37" s="57"/>
      <c r="D37" s="57"/>
      <c r="E37" s="57"/>
      <c r="F37" s="57"/>
      <c r="G37" s="57"/>
      <c r="H37" s="83">
        <f t="array" ref="H37">SUM(C37:G37*$C$21:$G$21)</f>
        <v>0</v>
      </c>
      <c r="I37" s="36" t="str">
        <f t="shared" si="2"/>
        <v>CH2NH2</v>
      </c>
      <c r="J37" s="95">
        <f t="shared" si="3"/>
        <v>0</v>
      </c>
      <c r="K37" s="96">
        <f t="shared" si="4"/>
        <v>0</v>
      </c>
      <c r="L37" s="96">
        <f t="shared" si="5"/>
        <v>0</v>
      </c>
      <c r="M37" s="96">
        <f t="shared" si="6"/>
        <v>0</v>
      </c>
      <c r="N37" s="96">
        <f t="shared" si="7"/>
        <v>0</v>
      </c>
      <c r="O37" s="215">
        <f t="shared" si="8"/>
        <v>0</v>
      </c>
      <c r="P37" s="95">
        <f>J37*'aij-UNIFAC (VLE)'!$X24/J$43</f>
        <v>0</v>
      </c>
      <c r="Q37" s="96">
        <f>K37*'aij-UNIFAC (VLE)'!$X24/K$43</f>
        <v>0</v>
      </c>
      <c r="R37" s="96">
        <f>L37*'aij-UNIFAC (VLE)'!$X24/L$43</f>
        <v>0</v>
      </c>
      <c r="S37" s="96">
        <f>M37*'aij-UNIFAC (VLE)'!$X24/M$43</f>
        <v>0</v>
      </c>
      <c r="T37" s="96">
        <f>N37*'aij-UNIFAC (VLE)'!$X24/N$43</f>
        <v>0</v>
      </c>
      <c r="U37" s="98">
        <f>O37*'aij-UNIFAC (VLE)'!$X24/O$43</f>
        <v>0</v>
      </c>
      <c r="V37" s="95">
        <v>0.4249776421635022</v>
      </c>
      <c r="W37" s="96">
        <v>0.85416285795588209</v>
      </c>
      <c r="X37" s="96">
        <v>0.68840069866267184</v>
      </c>
      <c r="Y37" s="99">
        <v>0.65396740688751387</v>
      </c>
      <c r="Z37" s="99">
        <v>0.28300451167758622</v>
      </c>
      <c r="AA37" s="100">
        <v>0.85416285795588209</v>
      </c>
      <c r="AB37" s="216">
        <f t="shared" si="9"/>
        <v>0</v>
      </c>
      <c r="AC37" s="217">
        <f t="shared" si="10"/>
        <v>0</v>
      </c>
      <c r="AD37" s="217">
        <f t="shared" si="11"/>
        <v>0</v>
      </c>
      <c r="AE37" s="217">
        <f t="shared" si="12"/>
        <v>0</v>
      </c>
      <c r="AF37" s="217">
        <f t="shared" si="13"/>
        <v>0</v>
      </c>
      <c r="AG37" s="215">
        <f t="shared" si="14"/>
        <v>0</v>
      </c>
      <c r="AH37" s="95">
        <v>2.8393969610423486</v>
      </c>
      <c r="AI37" s="99">
        <v>2.9016832168904267</v>
      </c>
      <c r="AJ37" s="99">
        <v>1.4322535051847742</v>
      </c>
      <c r="AK37" s="99">
        <v>1.3890419698430225</v>
      </c>
      <c r="AL37" s="99">
        <v>1.1032661727095325</v>
      </c>
      <c r="AM37" s="100">
        <v>2.9016832168904267</v>
      </c>
      <c r="AN37" s="103">
        <f>'aij-UNIFAC (VLE)'!$X24*(1-LN(V37)-AH37)</f>
        <v>-1.2158263082574461</v>
      </c>
      <c r="AO37" s="104">
        <f>'aij-UNIFAC (VLE)'!$X24*(1-LN(W37)-AI37)</f>
        <v>-2.1556455697312504</v>
      </c>
      <c r="AP37" s="104">
        <f>'aij-UNIFAC (VLE)'!$X24*(1-LN(X37)-AJ37)</f>
        <v>-7.276246153312621E-2</v>
      </c>
      <c r="AQ37" s="104">
        <f>'aij-UNIFAC (VLE)'!$X24*(1-LN(Y37)-AK37)</f>
        <v>4.4070563222220221E-2</v>
      </c>
      <c r="AR37" s="104">
        <f>'aij-UNIFAC (VLE)'!$X24*(1-LN(Z37)-AL37)</f>
        <v>1.432556465310963</v>
      </c>
      <c r="AS37" s="105">
        <f>'aij-UNIFAC (VLE)'!$X24*(1-LN(AA37)-AM37)</f>
        <v>-2.1556455697312504</v>
      </c>
      <c r="AT37" s="202"/>
      <c r="AU37" s="202"/>
      <c r="AZ37" s="284"/>
      <c r="BA37" s="284"/>
    </row>
    <row r="38" spans="1:110">
      <c r="A38" s="211">
        <v>36</v>
      </c>
      <c r="B38" s="35" t="str">
        <f>'aij-UNIFAC (VLE)'!V25</f>
        <v>ACNH2</v>
      </c>
      <c r="C38" s="57"/>
      <c r="D38" s="57"/>
      <c r="E38" s="57"/>
      <c r="F38" s="57"/>
      <c r="G38" s="57"/>
      <c r="H38" s="83">
        <f t="array" ref="H38">SUM(C38:G38*$C$21:$G$21)</f>
        <v>0</v>
      </c>
      <c r="I38" s="36" t="str">
        <f t="shared" si="2"/>
        <v>ACNH2</v>
      </c>
      <c r="J38" s="95">
        <f t="shared" si="3"/>
        <v>0</v>
      </c>
      <c r="K38" s="96">
        <f t="shared" si="4"/>
        <v>0</v>
      </c>
      <c r="L38" s="96">
        <f t="shared" si="5"/>
        <v>0</v>
      </c>
      <c r="M38" s="96">
        <f t="shared" si="6"/>
        <v>0</v>
      </c>
      <c r="N38" s="96">
        <f t="shared" si="7"/>
        <v>0</v>
      </c>
      <c r="O38" s="215">
        <f t="shared" si="8"/>
        <v>0</v>
      </c>
      <c r="P38" s="95">
        <f>J38*'aij-UNIFAC (VLE)'!$X25/J$43</f>
        <v>0</v>
      </c>
      <c r="Q38" s="96">
        <f>K38*'aij-UNIFAC (VLE)'!$X25/K$43</f>
        <v>0</v>
      </c>
      <c r="R38" s="96">
        <f>L38*'aij-UNIFAC (VLE)'!$X25/L$43</f>
        <v>0</v>
      </c>
      <c r="S38" s="96">
        <f>M38*'aij-UNIFAC (VLE)'!$X25/M$43</f>
        <v>0</v>
      </c>
      <c r="T38" s="96">
        <f>N38*'aij-UNIFAC (VLE)'!$X25/N$43</f>
        <v>0</v>
      </c>
      <c r="U38" s="98">
        <f>O38*'aij-UNIFAC (VLE)'!$X25/O$43</f>
        <v>0</v>
      </c>
      <c r="V38" s="216">
        <v>0.28459180571360088</v>
      </c>
      <c r="W38" s="217">
        <v>0.45651363627070851</v>
      </c>
      <c r="X38" s="217">
        <v>0.1217204007684772</v>
      </c>
      <c r="Y38" s="217">
        <v>2.4795325468613481E-2</v>
      </c>
      <c r="Z38" s="217">
        <v>5.137705544733024E-2</v>
      </c>
      <c r="AA38" s="215">
        <v>0.45651363627070851</v>
      </c>
      <c r="AB38" s="216">
        <f t="shared" si="9"/>
        <v>0</v>
      </c>
      <c r="AC38" s="217">
        <f t="shared" si="10"/>
        <v>0</v>
      </c>
      <c r="AD38" s="217">
        <f t="shared" si="11"/>
        <v>0</v>
      </c>
      <c r="AE38" s="217">
        <f t="shared" si="12"/>
        <v>0</v>
      </c>
      <c r="AF38" s="217">
        <f t="shared" si="13"/>
        <v>0</v>
      </c>
      <c r="AG38" s="215">
        <f t="shared" si="14"/>
        <v>0</v>
      </c>
      <c r="AH38" s="216">
        <v>0.93357933385637504</v>
      </c>
      <c r="AI38" s="217">
        <v>3.0083824646425303</v>
      </c>
      <c r="AJ38" s="217">
        <v>2.6644758537705346</v>
      </c>
      <c r="AK38" s="217">
        <v>3.5698079864707744</v>
      </c>
      <c r="AL38" s="217">
        <v>2.5414978535951829E-2</v>
      </c>
      <c r="AM38" s="215">
        <v>3.0083824646425303</v>
      </c>
      <c r="AN38" s="103">
        <f>'aij-UNIFAC (VLE)'!$X25*(1-LN(V38)-AH38)</f>
        <v>1.0796659625763119</v>
      </c>
      <c r="AO38" s="104">
        <f>'aij-UNIFAC (VLE)'!$X25*(1-LN(W38)-AI38)</f>
        <v>-0.99898453738399695</v>
      </c>
      <c r="AP38" s="104">
        <f>'aij-UNIFAC (VLE)'!$X25*(1-LN(X38)-AJ38)</f>
        <v>0.36030709103756581</v>
      </c>
      <c r="AQ38" s="104">
        <f>'aij-UNIFAC (VLE)'!$X25*(1-LN(Y38)-AK38)</f>
        <v>0.91987039136085136</v>
      </c>
      <c r="AR38" s="104">
        <f>'aij-UNIFAC (VLE)'!$X25*(1-LN(Z38)-AL38)</f>
        <v>3.2176092736939315</v>
      </c>
      <c r="AS38" s="105">
        <f>'aij-UNIFAC (VLE)'!$X25*(1-LN(AA38)-AM38)</f>
        <v>-0.99898453738399695</v>
      </c>
      <c r="AT38" s="210"/>
      <c r="AU38" s="210"/>
      <c r="AV38" s="33"/>
      <c r="AW38" s="33"/>
      <c r="AX38" s="33"/>
      <c r="AY38" s="33"/>
      <c r="AZ38" s="285"/>
      <c r="BA38" s="285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</row>
    <row r="39" spans="1:110">
      <c r="A39" s="211">
        <v>42</v>
      </c>
      <c r="B39" s="35" t="str">
        <f>'aij-UNIFAC (VLE)'!V26</f>
        <v>COOH</v>
      </c>
      <c r="C39" s="57"/>
      <c r="D39" s="57"/>
      <c r="E39" s="57">
        <v>1</v>
      </c>
      <c r="F39" s="57"/>
      <c r="G39" s="57"/>
      <c r="H39" s="83">
        <f t="array" ref="H39">SUM(C39:G39*$C$21:$G$21)</f>
        <v>9.9999999999999995E-21</v>
      </c>
      <c r="I39" s="36" t="str">
        <f t="shared" si="2"/>
        <v>COOH</v>
      </c>
      <c r="J39" s="95">
        <f t="shared" si="3"/>
        <v>0</v>
      </c>
      <c r="K39" s="96">
        <f t="shared" si="4"/>
        <v>0</v>
      </c>
      <c r="L39" s="96">
        <f t="shared" si="5"/>
        <v>0.1111111111111111</v>
      </c>
      <c r="M39" s="96">
        <f t="shared" si="6"/>
        <v>0</v>
      </c>
      <c r="N39" s="96">
        <f t="shared" si="7"/>
        <v>0</v>
      </c>
      <c r="O39" s="215">
        <f t="shared" si="8"/>
        <v>9.9999999999999995E-21</v>
      </c>
      <c r="P39" s="95">
        <f>J39*'aij-UNIFAC (VLE)'!$X26/J$43</f>
        <v>0</v>
      </c>
      <c r="Q39" s="96">
        <f>K39*'aij-UNIFAC (VLE)'!$X26/K$43</f>
        <v>0</v>
      </c>
      <c r="R39" s="96">
        <f>L39*'aij-UNIFAC (VLE)'!$X26/L$43</f>
        <v>0.22125813449023862</v>
      </c>
      <c r="S39" s="96">
        <f>M39*'aij-UNIFAC (VLE)'!$X26/M$43</f>
        <v>0</v>
      </c>
      <c r="T39" s="96">
        <f>N39*'aij-UNIFAC (VLE)'!$X26/N$43</f>
        <v>0</v>
      </c>
      <c r="U39" s="98">
        <f>O39*'aij-UNIFAC (VLE)'!$X26/O$43</f>
        <v>8.7428571428571429E-21</v>
      </c>
      <c r="V39" s="216">
        <v>0.20189057231046043</v>
      </c>
      <c r="W39" s="217">
        <v>1.0464773622730033</v>
      </c>
      <c r="X39" s="217">
        <v>0.31626538107639046</v>
      </c>
      <c r="Y39" s="217">
        <v>0.11659084787848847</v>
      </c>
      <c r="Z39" s="217">
        <v>0.11773870884922133</v>
      </c>
      <c r="AA39" s="215">
        <v>1.0464773622730033</v>
      </c>
      <c r="AB39" s="216">
        <f t="shared" si="9"/>
        <v>0</v>
      </c>
      <c r="AC39" s="217">
        <f t="shared" si="10"/>
        <v>0</v>
      </c>
      <c r="AD39" s="217">
        <f t="shared" si="11"/>
        <v>0.69959643934849802</v>
      </c>
      <c r="AE39" s="217">
        <f t="shared" si="12"/>
        <v>0</v>
      </c>
      <c r="AF39" s="217">
        <f t="shared" si="13"/>
        <v>0</v>
      </c>
      <c r="AG39" s="215">
        <f t="shared" si="14"/>
        <v>8.3545592652546276E-21</v>
      </c>
      <c r="AH39" s="216">
        <v>1.7152692239079155</v>
      </c>
      <c r="AI39" s="217">
        <v>1.23781580617947</v>
      </c>
      <c r="AJ39" s="217">
        <v>1.2527615464095856</v>
      </c>
      <c r="AK39" s="217">
        <v>2.3578348370691211</v>
      </c>
      <c r="AL39" s="217">
        <v>0.36182128800082836</v>
      </c>
      <c r="AM39" s="215">
        <v>1.23781580617947</v>
      </c>
      <c r="AN39" s="103">
        <f>'aij-UNIFAC (VLE)'!$X26*(1-LN(V39)-AH39)</f>
        <v>1.0829465162474028</v>
      </c>
      <c r="AO39" s="104">
        <f>'aij-UNIFAC (VLE)'!$X26*(1-LN(W39)-AI39)</f>
        <v>-0.3466924148919962</v>
      </c>
      <c r="AP39" s="104">
        <f>'aij-UNIFAC (VLE)'!$X26*(1-LN(X39)-AJ39)</f>
        <v>1.0996563588681691</v>
      </c>
      <c r="AQ39" s="104">
        <f>'aij-UNIFAC (VLE)'!$X26*(1-LN(Y39)-AK39)</f>
        <v>0.96848958712694422</v>
      </c>
      <c r="AR39" s="104">
        <f>'aij-UNIFAC (VLE)'!$X26*(1-LN(Z39)-AL39)</f>
        <v>3.3996185719570811</v>
      </c>
      <c r="AS39" s="105">
        <f>'aij-UNIFAC (VLE)'!$X26*(1-LN(AA39)-AM39)</f>
        <v>-0.3466924148919962</v>
      </c>
      <c r="AT39" s="210"/>
      <c r="AU39" s="210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</row>
    <row r="40" spans="1:110">
      <c r="A40" s="211">
        <v>49</v>
      </c>
      <c r="B40" s="35" t="str">
        <f>'aij-UNIFAC (VLE)'!V27</f>
        <v>CCL2</v>
      </c>
      <c r="C40" s="57"/>
      <c r="D40" s="57"/>
      <c r="E40" s="57"/>
      <c r="F40" s="57"/>
      <c r="G40" s="57"/>
      <c r="H40" s="83">
        <f t="array" ref="H40">SUM(C40:G40*$C$21:$G$21)</f>
        <v>0</v>
      </c>
      <c r="I40" s="36" t="str">
        <f t="shared" si="2"/>
        <v>CCL2</v>
      </c>
      <c r="J40" s="95">
        <f t="shared" si="3"/>
        <v>0</v>
      </c>
      <c r="K40" s="96">
        <f t="shared" si="4"/>
        <v>0</v>
      </c>
      <c r="L40" s="96">
        <f t="shared" si="5"/>
        <v>0</v>
      </c>
      <c r="M40" s="96">
        <f t="shared" si="6"/>
        <v>0</v>
      </c>
      <c r="N40" s="96">
        <f t="shared" si="7"/>
        <v>0</v>
      </c>
      <c r="O40" s="215">
        <f t="shared" si="8"/>
        <v>0</v>
      </c>
      <c r="P40" s="95">
        <f>J40*'aij-UNIFAC (VLE)'!$X27/J$43</f>
        <v>0</v>
      </c>
      <c r="Q40" s="96">
        <f>K40*'aij-UNIFAC (VLE)'!$X27/K$43</f>
        <v>0</v>
      </c>
      <c r="R40" s="96">
        <f>L40*'aij-UNIFAC (VLE)'!$X27/L$43</f>
        <v>0</v>
      </c>
      <c r="S40" s="96">
        <f>M40*'aij-UNIFAC (VLE)'!$X27/M$43</f>
        <v>0</v>
      </c>
      <c r="T40" s="96">
        <f>N40*'aij-UNIFAC (VLE)'!$X27/N$43</f>
        <v>0</v>
      </c>
      <c r="U40" s="98">
        <f>O40*'aij-UNIFAC (VLE)'!$X27/O$43</f>
        <v>0</v>
      </c>
      <c r="V40" s="216">
        <v>0.83454265868938571</v>
      </c>
      <c r="W40" s="217">
        <v>0.30292778308662055</v>
      </c>
      <c r="X40" s="217">
        <v>1.2685418547850307</v>
      </c>
      <c r="Y40" s="217">
        <v>1.1933436647239046</v>
      </c>
      <c r="Z40" s="217">
        <v>0.84085547494562074</v>
      </c>
      <c r="AA40" s="215">
        <v>0.30292778308662055</v>
      </c>
      <c r="AB40" s="216">
        <f t="shared" si="9"/>
        <v>0</v>
      </c>
      <c r="AC40" s="217">
        <f t="shared" si="10"/>
        <v>0</v>
      </c>
      <c r="AD40" s="217">
        <f t="shared" si="11"/>
        <v>0</v>
      </c>
      <c r="AE40" s="217">
        <f t="shared" si="12"/>
        <v>0</v>
      </c>
      <c r="AF40" s="217">
        <f t="shared" si="13"/>
        <v>0</v>
      </c>
      <c r="AG40" s="215">
        <f t="shared" si="14"/>
        <v>0</v>
      </c>
      <c r="AH40" s="216">
        <v>0.93185832824378201</v>
      </c>
      <c r="AI40" s="217">
        <v>0.10177168308540258</v>
      </c>
      <c r="AJ40" s="217">
        <v>0.74491288651382381</v>
      </c>
      <c r="AK40" s="217">
        <v>1.0892333004011845</v>
      </c>
      <c r="AL40" s="217">
        <v>0.89588179499803222</v>
      </c>
      <c r="AM40" s="215">
        <v>0.10177168308540258</v>
      </c>
      <c r="AN40" s="103">
        <f>'aij-UNIFAC (VLE)'!$X27*(1-LN(V40)-AH40)</f>
        <v>0.36057095443892728</v>
      </c>
      <c r="AO40" s="104">
        <f>'aij-UNIFAC (VLE)'!$X27*(1-LN(W40)-AI40)</f>
        <v>3.0299243014253046</v>
      </c>
      <c r="AP40" s="104">
        <f>'aij-UNIFAC (VLE)'!$X27*(1-LN(X40)-AJ40)</f>
        <v>2.4933138757031723E-2</v>
      </c>
      <c r="AQ40" s="104">
        <f>'aij-UNIFAC (VLE)'!$X27*(1-LN(Y40)-AK40)</f>
        <v>-0.38515709612280713</v>
      </c>
      <c r="AR40" s="104">
        <f>'aij-UNIFAC (VLE)'!$X27*(1-LN(Z40)-AL40)</f>
        <v>0.40175293998197542</v>
      </c>
      <c r="AS40" s="105">
        <f>'aij-UNIFAC (VLE)'!$X27*(1-LN(AA40)-AM40)</f>
        <v>3.0299243014253046</v>
      </c>
      <c r="AT40" s="210"/>
      <c r="AU40" s="210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</row>
    <row r="41" spans="1:110">
      <c r="A41" s="211">
        <v>51</v>
      </c>
      <c r="B41" s="35" t="str">
        <f>'aij-UNIFAC (VLE)'!V28</f>
        <v>CCL3</v>
      </c>
      <c r="C41" s="57"/>
      <c r="D41" s="57"/>
      <c r="E41" s="57"/>
      <c r="F41" s="57"/>
      <c r="G41" s="57"/>
      <c r="H41" s="83">
        <f t="array" ref="H41">SUM(C41:G41*$C$21:$G$21)</f>
        <v>0</v>
      </c>
      <c r="I41" s="36" t="str">
        <f t="shared" si="2"/>
        <v>CCL3</v>
      </c>
      <c r="J41" s="95">
        <f t="shared" si="3"/>
        <v>0</v>
      </c>
      <c r="K41" s="96">
        <f t="shared" si="4"/>
        <v>0</v>
      </c>
      <c r="L41" s="96">
        <f t="shared" si="5"/>
        <v>0</v>
      </c>
      <c r="M41" s="96">
        <f t="shared" si="6"/>
        <v>0</v>
      </c>
      <c r="N41" s="96">
        <f t="shared" si="7"/>
        <v>0</v>
      </c>
      <c r="O41" s="215">
        <f t="shared" si="8"/>
        <v>0</v>
      </c>
      <c r="P41" s="95">
        <f>J41*'aij-UNIFAC (VLE)'!$X28/J$43</f>
        <v>0</v>
      </c>
      <c r="Q41" s="96">
        <f>K41*'aij-UNIFAC (VLE)'!$X28/K$43</f>
        <v>0</v>
      </c>
      <c r="R41" s="96">
        <f>L41*'aij-UNIFAC (VLE)'!$X28/L$43</f>
        <v>0</v>
      </c>
      <c r="S41" s="96">
        <f>M41*'aij-UNIFAC (VLE)'!$X28/M$43</f>
        <v>0</v>
      </c>
      <c r="T41" s="96">
        <f>N41*'aij-UNIFAC (VLE)'!$X28/N$43</f>
        <v>0</v>
      </c>
      <c r="U41" s="98">
        <f>O41*'aij-UNIFAC (VLE)'!$X28/O$43</f>
        <v>0</v>
      </c>
      <c r="V41" s="216">
        <v>1.0153610914361706</v>
      </c>
      <c r="W41" s="217">
        <v>0.31968602786141248</v>
      </c>
      <c r="X41" s="217">
        <v>1.3462278291946224</v>
      </c>
      <c r="Y41" s="217">
        <v>2.0685032073121845</v>
      </c>
      <c r="Z41" s="217">
        <v>0.9228544643452774</v>
      </c>
      <c r="AA41" s="215">
        <v>0.31968602786141248</v>
      </c>
      <c r="AB41" s="216">
        <f t="shared" si="9"/>
        <v>0</v>
      </c>
      <c r="AC41" s="217">
        <f t="shared" si="10"/>
        <v>0</v>
      </c>
      <c r="AD41" s="217">
        <f t="shared" si="11"/>
        <v>0</v>
      </c>
      <c r="AE41" s="217">
        <f t="shared" si="12"/>
        <v>0</v>
      </c>
      <c r="AF41" s="217">
        <f t="shared" si="13"/>
        <v>0</v>
      </c>
      <c r="AG41" s="215">
        <f t="shared" si="14"/>
        <v>0</v>
      </c>
      <c r="AH41" s="216">
        <v>0.84687652251320389</v>
      </c>
      <c r="AI41" s="217">
        <v>6.9543218716540983E-2</v>
      </c>
      <c r="AJ41" s="217">
        <v>0.75584762280791074</v>
      </c>
      <c r="AK41" s="217">
        <v>0.58833993524424621</v>
      </c>
      <c r="AL41" s="217">
        <v>0.88840297309070726</v>
      </c>
      <c r="AM41" s="215">
        <v>6.9543218716540983E-2</v>
      </c>
      <c r="AN41" s="103">
        <f>'aij-UNIFAC (VLE)'!$X28*(1-LN(V41)-AH41)</f>
        <v>0.30112811415820767</v>
      </c>
      <c r="AO41" s="104">
        <f>'aij-UNIFAC (VLE)'!$X28*(1-LN(W41)-AI41)</f>
        <v>4.5227859965877855</v>
      </c>
      <c r="AP41" s="104">
        <f>'aij-UNIFAC (VLE)'!$X28*(1-LN(X41)-AJ41)</f>
        <v>-0.11608856225355933</v>
      </c>
      <c r="AQ41" s="104">
        <f>'aij-UNIFAC (VLE)'!$X28*(1-LN(Y41)-AK41)</f>
        <v>-0.68832078088330539</v>
      </c>
      <c r="AR41" s="104">
        <f>'aij-UNIFAC (VLE)'!$X28*(1-LN(Z41)-AL41)</f>
        <v>0.41906758112101555</v>
      </c>
      <c r="AS41" s="105">
        <f>'aij-UNIFAC (VLE)'!$X28*(1-LN(AA41)-AM41)</f>
        <v>4.5227859965877855</v>
      </c>
      <c r="AT41" s="210"/>
      <c r="AU41" s="210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</row>
    <row r="42" spans="1:110">
      <c r="A42" s="211">
        <v>99</v>
      </c>
      <c r="B42" s="35" t="str">
        <f>'aij-UNIFAC (VLE)'!V29</f>
        <v>CON(CH2)2</v>
      </c>
      <c r="C42" s="57"/>
      <c r="D42" s="57"/>
      <c r="E42" s="57"/>
      <c r="F42" s="57"/>
      <c r="G42" s="57"/>
      <c r="H42" s="83">
        <f t="array" ref="H42">SUM(C42:G42*$C$21:$G$21)</f>
        <v>0</v>
      </c>
      <c r="I42" s="36" t="str">
        <f t="shared" si="2"/>
        <v>CON(CH2)2</v>
      </c>
      <c r="J42" s="107">
        <f t="shared" si="3"/>
        <v>0</v>
      </c>
      <c r="K42" s="108">
        <f t="shared" si="4"/>
        <v>0</v>
      </c>
      <c r="L42" s="108">
        <f t="shared" si="5"/>
        <v>0</v>
      </c>
      <c r="M42" s="108">
        <f t="shared" si="6"/>
        <v>0</v>
      </c>
      <c r="N42" s="108">
        <f t="shared" si="7"/>
        <v>0</v>
      </c>
      <c r="O42" s="218">
        <f t="shared" si="8"/>
        <v>0</v>
      </c>
      <c r="P42" s="107">
        <f>J42*'aij-UNIFAC (VLE)'!$X29/J$43</f>
        <v>0</v>
      </c>
      <c r="Q42" s="108">
        <f>K42*'aij-UNIFAC (VLE)'!$X29/K$43</f>
        <v>0</v>
      </c>
      <c r="R42" s="108">
        <f>L42*'aij-UNIFAC (VLE)'!$X29/L$43</f>
        <v>0</v>
      </c>
      <c r="S42" s="108">
        <f>M42*'aij-UNIFAC (VLE)'!$X29/M$43</f>
        <v>0</v>
      </c>
      <c r="T42" s="108">
        <f>N42*'aij-UNIFAC (VLE)'!$X29/N$43</f>
        <v>0</v>
      </c>
      <c r="U42" s="110">
        <f>O42*'aij-UNIFAC (VLE)'!$X29/O$43</f>
        <v>0</v>
      </c>
      <c r="V42" s="219">
        <v>0.93975264839363726</v>
      </c>
      <c r="W42" s="220">
        <v>6.7597773330747582E-2</v>
      </c>
      <c r="X42" s="220">
        <v>1.2267844984534313</v>
      </c>
      <c r="Y42" s="220">
        <v>0.65871606172749031</v>
      </c>
      <c r="Z42" s="220">
        <v>0.29284394346416548</v>
      </c>
      <c r="AA42" s="218">
        <v>6.7597773330747582E-2</v>
      </c>
      <c r="AB42" s="219">
        <f t="shared" si="9"/>
        <v>0</v>
      </c>
      <c r="AC42" s="220">
        <f t="shared" si="10"/>
        <v>0</v>
      </c>
      <c r="AD42" s="220">
        <f t="shared" si="11"/>
        <v>0</v>
      </c>
      <c r="AE42" s="220">
        <f t="shared" si="12"/>
        <v>0</v>
      </c>
      <c r="AF42" s="220">
        <f t="shared" si="13"/>
        <v>0</v>
      </c>
      <c r="AG42" s="218">
        <f t="shared" si="14"/>
        <v>0</v>
      </c>
      <c r="AH42" s="219">
        <v>1.0313772728963242</v>
      </c>
      <c r="AI42" s="220">
        <v>5.1660514661581409</v>
      </c>
      <c r="AJ42" s="220">
        <v>1.7074182718632831</v>
      </c>
      <c r="AK42" s="220">
        <v>1.2934995311216848</v>
      </c>
      <c r="AL42" s="220">
        <v>0.91376470966623324</v>
      </c>
      <c r="AM42" s="218">
        <v>5.1660514661581409</v>
      </c>
      <c r="AN42" s="115">
        <f>'aij-UNIFAC (VLE)'!$X29*(1-LN(V42)-AH42)</f>
        <v>5.5739485486160312E-2</v>
      </c>
      <c r="AO42" s="116">
        <f>'aij-UNIFAC (VLE)'!$X29*(1-LN(W42)-AI42)</f>
        <v>-2.6670306701881432</v>
      </c>
      <c r="AP42" s="116">
        <f>'aij-UNIFAC (VLE)'!$X29*(1-LN(X42)-AJ42)</f>
        <v>-1.6522083981835278</v>
      </c>
      <c r="AQ42" s="116">
        <f>'aij-UNIFAC (VLE)'!$X29*(1-LN(Y42)-AK42)</f>
        <v>0.22462126137870728</v>
      </c>
      <c r="AR42" s="116">
        <f>'aij-UNIFAC (VLE)'!$X29*(1-LN(Z42)-AL42)</f>
        <v>2.3816035016546704</v>
      </c>
      <c r="AS42" s="117">
        <f>'aij-UNIFAC (VLE)'!$X29*(1-LN(AA42)-AM42)</f>
        <v>-2.6670306701881432</v>
      </c>
      <c r="AT42" s="210"/>
      <c r="AU42" s="210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</row>
    <row r="43" spans="1:110">
      <c r="B43" s="82" t="s">
        <v>143</v>
      </c>
      <c r="C43" s="83">
        <f>C21*SUM(C23:C42)</f>
        <v>8.9999999999999991E-20</v>
      </c>
      <c r="D43" s="83">
        <f>D21*SUM(D23:D42)</f>
        <v>1</v>
      </c>
      <c r="E43" s="83">
        <f>E21*SUM(E23:E42)</f>
        <v>8.9999999999999991E-20</v>
      </c>
      <c r="F43" s="83">
        <f>F21*SUM(F23:F42)</f>
        <v>2.9999999999999997E-20</v>
      </c>
      <c r="G43" s="83">
        <f>G21*SUM(G23:G42)</f>
        <v>4.9999999999999999E-20</v>
      </c>
      <c r="H43" s="83">
        <f>SUM(C43:G43)</f>
        <v>1</v>
      </c>
      <c r="I43" s="118" t="s">
        <v>144</v>
      </c>
      <c r="J43" s="36">
        <f t="array" ref="J43">SUM(J23:J42*_Q)</f>
        <v>0.64755555555555555</v>
      </c>
      <c r="K43" s="36">
        <f t="array" ref="K43">SUM(K23:K42*_Q)</f>
        <v>1.4</v>
      </c>
      <c r="L43" s="36">
        <f t="array" ref="L43">SUM(L23:L42*_Q)</f>
        <v>0.61466666666666658</v>
      </c>
      <c r="M43" s="36">
        <f t="array" ref="M43">SUM(M23:M42*_Q)</f>
        <v>0.95866666666666656</v>
      </c>
      <c r="N43" s="36">
        <f t="array" ref="N43">SUM(N23:N42*_Q)</f>
        <v>0.66320000000000001</v>
      </c>
      <c r="O43" s="36">
        <f t="array" ref="O43">SUM(O23:O42*_Q)</f>
        <v>1.4</v>
      </c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</row>
    <row r="44" spans="1:110">
      <c r="B44" s="35" t="s">
        <v>145</v>
      </c>
      <c r="C44" s="119">
        <f>SUM(C23:C42)</f>
        <v>9</v>
      </c>
      <c r="D44" s="119">
        <f>SUM(D23:D42)</f>
        <v>1</v>
      </c>
      <c r="E44" s="119">
        <f>SUM(E23:E42)</f>
        <v>9</v>
      </c>
      <c r="F44" s="119">
        <f>SUM(F23:F42)</f>
        <v>3</v>
      </c>
      <c r="G44" s="119">
        <f>SUM(G23:G42)</f>
        <v>5</v>
      </c>
      <c r="H44" s="120"/>
      <c r="I44" s="202"/>
      <c r="J44" s="202"/>
      <c r="K44" s="202"/>
      <c r="L44" s="202"/>
      <c r="M44" s="202"/>
      <c r="N44" s="202"/>
      <c r="O44" s="202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</row>
    <row r="45" spans="1:110">
      <c r="B45" s="35"/>
      <c r="C45" s="119"/>
      <c r="D45" s="119"/>
      <c r="E45" s="119"/>
      <c r="F45" s="119"/>
      <c r="G45" s="144"/>
      <c r="H45" s="121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</row>
    <row r="46" spans="1:110">
      <c r="B46" s="72" t="s">
        <v>44</v>
      </c>
      <c r="C46" s="58">
        <f t="array" ref="C46">SUM(C23:C42*_Q)</f>
        <v>5.8280000000000003</v>
      </c>
      <c r="D46" s="58">
        <f t="array" ref="D46">SUM(D23:D42*_Q)</f>
        <v>1.4</v>
      </c>
      <c r="E46" s="58">
        <f t="array" ref="E46">SUM(E23:E42*_Q)</f>
        <v>5.532</v>
      </c>
      <c r="F46" s="58">
        <f t="array" ref="F46">SUM(F23:F42*_Q)</f>
        <v>2.8759999999999999</v>
      </c>
      <c r="G46" s="58">
        <f t="array" ref="G46">SUM(G23:G42*_Q)</f>
        <v>3.3159999999999998</v>
      </c>
      <c r="H46" s="121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</row>
    <row r="47" spans="1:110">
      <c r="B47" s="35" t="s">
        <v>43</v>
      </c>
      <c r="C47" s="58">
        <f t="array" ref="C47">SUM(C23:C42*_R)</f>
        <v>6.6219000000000001</v>
      </c>
      <c r="D47" s="58">
        <f t="array" ref="D47">SUM(D23:D42*_R)</f>
        <v>0.92</v>
      </c>
      <c r="E47" s="58">
        <f t="array" ref="E47">SUM(E23:E42*_R)</f>
        <v>7.0811999999999991</v>
      </c>
      <c r="F47" s="58">
        <f t="array" ref="F47">SUM(F23:F42*_R)</f>
        <v>3.2479</v>
      </c>
      <c r="G47" s="58">
        <f t="array" ref="G47">SUM(G23:G42*_R)</f>
        <v>3.8254000000000001</v>
      </c>
      <c r="H47" s="121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</row>
    <row r="48" spans="1:110">
      <c r="B48" s="82" t="s">
        <v>146</v>
      </c>
      <c r="C48" s="58">
        <f>C21*C46/SUMPRODUCT($C46:$G46,$C21:$G21)</f>
        <v>4.1628571428571431E-20</v>
      </c>
      <c r="D48" s="58">
        <f>D21*D46/SUMPRODUCT($C46:$G46,$C21:$G21)</f>
        <v>1</v>
      </c>
      <c r="E48" s="58">
        <f>E21*E46/SUMPRODUCT($C46:$G46,$C21:$G21)</f>
        <v>3.9514285714285711E-20</v>
      </c>
      <c r="F48" s="58">
        <f>F21*F46/SUMPRODUCT($C46:$G46,$C21:$G21)</f>
        <v>2.054285714285714E-20</v>
      </c>
      <c r="G48" s="58">
        <f>G21*G46/SUMPRODUCT($C46:$G46,$C21:$G21)</f>
        <v>2.3685714285714287E-20</v>
      </c>
      <c r="H48" s="121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</row>
    <row r="49" spans="2:110">
      <c r="B49" s="82" t="s">
        <v>147</v>
      </c>
      <c r="C49" s="58">
        <f>C21*C47/SUMPRODUCT($C47:$G47,$C21:$G21)</f>
        <v>7.1977173913043471E-20</v>
      </c>
      <c r="D49" s="58">
        <f>D21*D47/SUMPRODUCT($C47:$G47,$C21:$G21)</f>
        <v>1</v>
      </c>
      <c r="E49" s="58">
        <f>E21*E47/SUMPRODUCT($C47:$G47,$C21:$G21)</f>
        <v>7.6969565217391286E-20</v>
      </c>
      <c r="F49" s="58">
        <f>F21*F47/SUMPRODUCT($C47:$G47,$C21:$G21)</f>
        <v>3.5303260869565214E-20</v>
      </c>
      <c r="G49" s="58">
        <f>G21*G47/SUMPRODUCT($C47:$G47,$C21:$G21)</f>
        <v>4.1580434782608689E-20</v>
      </c>
      <c r="H49" s="121"/>
      <c r="J49" s="210"/>
      <c r="K49" s="210"/>
      <c r="L49" s="210"/>
      <c r="M49" s="210"/>
      <c r="N49" s="210"/>
      <c r="O49" s="210"/>
      <c r="AA49" s="33"/>
      <c r="AB49" s="33"/>
      <c r="AC49" s="33"/>
      <c r="AD49" s="33"/>
      <c r="AF49" s="33"/>
      <c r="AG49" s="33"/>
      <c r="AH49" s="33"/>
      <c r="AI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</row>
    <row r="50" spans="2:110">
      <c r="B50" s="72" t="s">
        <v>148</v>
      </c>
      <c r="C50" s="58">
        <f>LN(C49/C21)+(1-C49/C21)-5*C46*(LN(C49/C48)+(1-C49/C48))</f>
        <v>1.0641030165369258</v>
      </c>
      <c r="D50" s="58">
        <f>LN(D49/D21)+(1-D49/D21)-5*D46*(LN(D49/D48)+(1-D49/D48))</f>
        <v>0</v>
      </c>
      <c r="E50" s="58">
        <f>LN(E49/E21)+(1-E49/E21)-5*E46*(LN(E49/E48)+(1-E49/E48))</f>
        <v>3.1203195163472301</v>
      </c>
      <c r="F50" s="58">
        <f>LN(F49/F21)+(1-F49/F21)-5*F46*(LN(F49/F48)+(1-F49/F48))</f>
        <v>1.277122638479208</v>
      </c>
      <c r="G50" s="58">
        <f>LN(G49/G21)+(1-G49/G21)-5*G46*(LN(G49/G48)+(1-G49/G48))</f>
        <v>1.4627837570426923</v>
      </c>
      <c r="H50" s="121"/>
      <c r="I50" s="34"/>
      <c r="J50" s="210"/>
      <c r="K50" s="210"/>
      <c r="L50" s="210"/>
      <c r="M50" s="210"/>
      <c r="N50" s="210"/>
      <c r="O50" s="210"/>
      <c r="AA50" s="33"/>
      <c r="AB50" s="33"/>
      <c r="AC50" s="33"/>
      <c r="AD50" s="33"/>
      <c r="AF50" s="33"/>
      <c r="AG50" s="33"/>
      <c r="AH50" s="33"/>
      <c r="AI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</row>
    <row r="51" spans="2:110">
      <c r="B51" s="72" t="s">
        <v>149</v>
      </c>
      <c r="C51" s="58">
        <f t="array" ref="C51">SUM(C23:C42*AN23:AN42)</f>
        <v>2.1117303161863692</v>
      </c>
      <c r="D51" s="58">
        <f t="array" ref="D51">SUM(D23:D42*AO23:AO42)</f>
        <v>0</v>
      </c>
      <c r="E51" s="58">
        <f t="array" ref="E51">SUM(E23:E42*AP23:AP42)</f>
        <v>1.7650705764017758</v>
      </c>
      <c r="F51" s="58">
        <f t="array" ref="F51">SUM(F23:F42*AQ23:AQ42)</f>
        <v>0.76896583777317784</v>
      </c>
      <c r="G51" s="58">
        <f t="array" ref="G51">SUM(G23:G42*AR23:AR42)</f>
        <v>0</v>
      </c>
      <c r="H51" s="121"/>
      <c r="J51" s="210"/>
      <c r="K51" s="210"/>
      <c r="L51" s="210"/>
      <c r="M51" s="210"/>
      <c r="N51" s="210"/>
      <c r="O51" s="210"/>
      <c r="AA51" s="33"/>
      <c r="AB51" s="33"/>
      <c r="AC51" s="33"/>
      <c r="AD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</row>
    <row r="52" spans="2:110">
      <c r="B52" s="72" t="s">
        <v>150</v>
      </c>
      <c r="C52" s="58">
        <f t="array" ref="C52">SUM(C23:C42*$AS23:$AS42)</f>
        <v>8.9682189662010305</v>
      </c>
      <c r="D52" s="58">
        <f t="array" ref="D52">SUM(D23:D42*$AS23:$AS42)</f>
        <v>0</v>
      </c>
      <c r="E52" s="58">
        <f t="array" ref="E52">SUM(E23:E42*$AS23:$AS42)</f>
        <v>8.6733680599559566</v>
      </c>
      <c r="F52" s="58">
        <f t="array" ref="F52">SUM(F23:F42*$AS23:$AS42)</f>
        <v>2.936981879590129</v>
      </c>
      <c r="G52" s="58">
        <f t="array" ref="G52">SUM(G23:G42*$AS23:$AS42)</f>
        <v>6.4761590774193856</v>
      </c>
      <c r="J52" s="210"/>
      <c r="K52" s="210"/>
      <c r="L52" s="210"/>
      <c r="M52" s="210"/>
      <c r="N52" s="210"/>
      <c r="O52" s="210"/>
      <c r="AA52" s="33"/>
      <c r="AB52" s="33"/>
      <c r="AC52" s="33"/>
      <c r="AD52" s="33"/>
      <c r="AF52" s="33"/>
      <c r="AG52" s="33"/>
      <c r="AH52" s="33"/>
      <c r="AI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</row>
    <row r="53" spans="2:110">
      <c r="J53" s="210"/>
      <c r="K53" s="210"/>
      <c r="L53" s="210"/>
      <c r="M53" s="210"/>
      <c r="N53" s="210"/>
      <c r="O53" s="210"/>
      <c r="AA53" s="33"/>
      <c r="AB53" s="33"/>
      <c r="AC53" s="33"/>
      <c r="AD53" s="33"/>
      <c r="AF53" s="33"/>
      <c r="AG53" s="33"/>
      <c r="AH53" s="33"/>
      <c r="AI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</row>
    <row r="54" spans="2:110">
      <c r="J54" s="210"/>
      <c r="K54" s="210"/>
      <c r="L54" s="210"/>
      <c r="M54" s="210"/>
      <c r="N54" s="210"/>
      <c r="O54" s="210"/>
      <c r="AA54" s="33"/>
      <c r="AB54" s="33"/>
      <c r="AC54" s="33"/>
      <c r="AD54" s="33"/>
      <c r="AF54" s="33"/>
      <c r="AG54" s="33"/>
      <c r="AH54" s="33"/>
      <c r="AI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</row>
    <row r="55" spans="2:110">
      <c r="K55" s="210"/>
      <c r="L55" s="210"/>
      <c r="M55" s="210"/>
      <c r="N55" s="210"/>
      <c r="O55" s="210"/>
      <c r="AA55" s="33"/>
      <c r="AB55" s="33"/>
      <c r="AC55" s="33"/>
      <c r="AD55" s="33"/>
      <c r="AF55" s="33"/>
      <c r="AG55" s="33"/>
      <c r="AH55" s="33"/>
      <c r="AI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</row>
    <row r="56" spans="2:110">
      <c r="J56" s="122"/>
      <c r="AA56" s="33"/>
      <c r="AB56" s="33"/>
      <c r="AC56" s="33"/>
      <c r="AD56" s="33"/>
      <c r="AF56" s="33"/>
      <c r="AG56" s="33"/>
      <c r="AH56" s="33"/>
      <c r="AI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</row>
    <row r="57" spans="2:110">
      <c r="AA57" s="33"/>
      <c r="AB57" s="33"/>
      <c r="AC57" s="33"/>
      <c r="AD57" s="33"/>
      <c r="AF57" s="33"/>
      <c r="AG57" s="33"/>
      <c r="AH57" s="33"/>
      <c r="AI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</row>
    <row r="58" spans="2:110">
      <c r="AA58" s="33"/>
      <c r="AB58" s="33"/>
      <c r="AC58" s="33"/>
      <c r="AD58" s="33"/>
      <c r="AF58" s="33"/>
      <c r="AG58" s="33"/>
      <c r="AH58" s="33"/>
      <c r="AI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</row>
    <row r="59" spans="2:110">
      <c r="AA59" s="33"/>
      <c r="AB59" s="33"/>
      <c r="AC59" s="33"/>
      <c r="AD59" s="33"/>
      <c r="AF59" s="33"/>
      <c r="AG59" s="33"/>
      <c r="AH59" s="33"/>
      <c r="AI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</row>
    <row r="60" spans="2:110">
      <c r="AA60" s="33"/>
      <c r="AB60" s="33"/>
      <c r="AC60" s="33"/>
      <c r="AD60" s="33"/>
      <c r="AF60" s="33"/>
      <c r="AG60" s="33"/>
      <c r="AH60" s="33"/>
      <c r="AI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</row>
    <row r="61" spans="2:110">
      <c r="AA61" s="33"/>
      <c r="AB61" s="33"/>
      <c r="AC61" s="33"/>
      <c r="AD61" s="33"/>
      <c r="AF61" s="33"/>
      <c r="AG61" s="33"/>
      <c r="AH61" s="33"/>
      <c r="AI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</row>
    <row r="62" spans="2:110">
      <c r="AA62" s="33"/>
      <c r="AB62" s="33"/>
      <c r="AC62" s="33"/>
      <c r="AD62" s="33"/>
      <c r="AF62" s="33"/>
      <c r="AG62" s="33"/>
      <c r="AH62" s="33"/>
      <c r="AI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</row>
    <row r="63" spans="2:110">
      <c r="AA63" s="33"/>
      <c r="AB63" s="33"/>
      <c r="AC63" s="33"/>
      <c r="AD63" s="33"/>
      <c r="AF63" s="33"/>
      <c r="AG63" s="33"/>
      <c r="AH63" s="33"/>
      <c r="AI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</row>
    <row r="64" spans="2:110">
      <c r="AA64" s="33"/>
      <c r="AB64" s="33"/>
      <c r="AC64" s="33"/>
      <c r="AD64" s="33"/>
      <c r="AF64" s="33"/>
      <c r="AG64" s="33"/>
      <c r="AH64" s="33"/>
      <c r="AI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</row>
    <row r="65" spans="27:110">
      <c r="AA65" s="33"/>
      <c r="AB65" s="33"/>
      <c r="AC65" s="33"/>
      <c r="AD65" s="33"/>
      <c r="AF65" s="33"/>
      <c r="AG65" s="33"/>
      <c r="AH65" s="33"/>
      <c r="AI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</row>
    <row r="66" spans="27:110">
      <c r="AA66" s="33"/>
      <c r="AB66" s="33"/>
      <c r="AC66" s="33"/>
      <c r="AD66" s="33"/>
      <c r="AF66" s="33"/>
      <c r="AG66" s="33"/>
      <c r="AH66" s="33"/>
      <c r="AI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</row>
    <row r="67" spans="27:110">
      <c r="AA67" s="33"/>
      <c r="AB67" s="33"/>
      <c r="AC67" s="33"/>
      <c r="AD67" s="33"/>
      <c r="AF67" s="33"/>
      <c r="AG67" s="33"/>
      <c r="AH67" s="33"/>
      <c r="AI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</row>
    <row r="68" spans="27:110">
      <c r="AA68" s="33"/>
      <c r="AB68" s="33"/>
      <c r="AC68" s="33"/>
      <c r="AD68" s="33"/>
      <c r="AF68" s="33"/>
      <c r="AG68" s="33"/>
      <c r="AH68" s="33"/>
      <c r="AI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</row>
    <row r="69" spans="27:110">
      <c r="AA69" s="33"/>
      <c r="AB69" s="33"/>
      <c r="AC69" s="33"/>
      <c r="AD69" s="33"/>
      <c r="AF69" s="33"/>
      <c r="AG69" s="33"/>
      <c r="AH69" s="33"/>
      <c r="AI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</row>
    <row r="70" spans="27:110">
      <c r="AA70" s="33"/>
      <c r="AB70" s="33"/>
      <c r="AC70" s="33"/>
      <c r="AD70" s="33"/>
      <c r="AF70" s="33"/>
      <c r="AG70" s="33"/>
      <c r="AH70" s="33"/>
      <c r="AI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</row>
    <row r="71" spans="27:110">
      <c r="AA71" s="33"/>
      <c r="AB71" s="33"/>
      <c r="AC71" s="33"/>
      <c r="AD71" s="33"/>
      <c r="AF71" s="33"/>
      <c r="AG71" s="33"/>
      <c r="AH71" s="33"/>
      <c r="AI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</row>
    <row r="72" spans="27:110">
      <c r="AA72" s="33"/>
      <c r="AB72" s="33"/>
      <c r="AC72" s="33"/>
      <c r="AD72" s="33"/>
      <c r="AF72" s="33"/>
      <c r="AG72" s="33"/>
      <c r="AH72" s="33"/>
      <c r="AI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</row>
    <row r="73" spans="27:110">
      <c r="AA73" s="33"/>
      <c r="AB73" s="33"/>
      <c r="AC73" s="33"/>
      <c r="AD73" s="33"/>
      <c r="AF73" s="33"/>
      <c r="AG73" s="33"/>
      <c r="AH73" s="33"/>
      <c r="AI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</row>
  </sheetData>
  <phoneticPr fontId="36" type="noConversion"/>
  <pageMargins left="0.75" right="0.75" top="1" bottom="1" header="0.5" footer="0.5"/>
  <pageSetup scale="87" fitToWidth="2" orientation="landscape" horizontalDpi="300" verticalDpi="30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BL71"/>
  <sheetViews>
    <sheetView workbookViewId="0">
      <selection activeCell="F1" sqref="F1"/>
    </sheetView>
  </sheetViews>
  <sheetFormatPr baseColWidth="10" defaultColWidth="10.6640625" defaultRowHeight="13"/>
  <cols>
    <col min="1" max="18" width="10.6640625" style="222" customWidth="1"/>
    <col min="19" max="19" width="9.1640625" style="222" customWidth="1"/>
    <col min="20" max="20" width="5.6640625" style="221" customWidth="1"/>
    <col min="21" max="21" width="5.83203125" style="221" customWidth="1"/>
    <col min="22" max="44" width="10.6640625" style="221" customWidth="1"/>
    <col min="45" max="46" width="10.6640625" style="222" customWidth="1"/>
    <col min="47" max="64" width="9.1640625" style="255" customWidth="1"/>
    <col min="65" max="16384" width="10.6640625" style="222"/>
  </cols>
  <sheetData>
    <row r="1" spans="1:45">
      <c r="A1" s="221" t="s">
        <v>266</v>
      </c>
    </row>
    <row r="2" spans="1:45" s="221" customFormat="1">
      <c r="A2" s="221" t="s">
        <v>267</v>
      </c>
    </row>
    <row r="3" spans="1:45" s="221" customFormat="1">
      <c r="T3" s="221" t="s">
        <v>268</v>
      </c>
    </row>
    <row r="4" spans="1:45" s="221" customFormat="1">
      <c r="A4" s="223" t="s">
        <v>269</v>
      </c>
      <c r="T4" s="221" t="s">
        <v>270</v>
      </c>
    </row>
    <row r="5" spans="1:45" s="221" customFormat="1">
      <c r="A5" s="221" t="s">
        <v>154</v>
      </c>
    </row>
    <row r="6" spans="1:45" s="221" customFormat="1">
      <c r="A6" s="221" t="s">
        <v>271</v>
      </c>
      <c r="F6" s="224"/>
      <c r="G6" s="224"/>
      <c r="T6" s="225" t="s">
        <v>156</v>
      </c>
      <c r="U6" s="221">
        <f>'UNIFAC (VLE)'!C10</f>
        <v>37</v>
      </c>
      <c r="V6" s="221" t="s">
        <v>129</v>
      </c>
    </row>
    <row r="7" spans="1:45" ht="15">
      <c r="A7" s="222" t="s">
        <v>272</v>
      </c>
      <c r="F7" s="224"/>
      <c r="G7" s="224"/>
      <c r="H7" s="221"/>
      <c r="I7" s="221"/>
      <c r="J7" s="221"/>
      <c r="K7" s="221"/>
      <c r="L7" s="221"/>
      <c r="M7" s="221"/>
      <c r="U7" s="225"/>
      <c r="V7" s="224"/>
      <c r="W7" s="224"/>
      <c r="X7" s="224"/>
      <c r="Y7" s="226" t="s">
        <v>297</v>
      </c>
      <c r="Z7" s="224"/>
      <c r="AA7" s="224"/>
      <c r="AB7" s="224"/>
      <c r="AC7" s="222"/>
      <c r="AD7" s="222"/>
      <c r="AE7" s="222"/>
      <c r="AF7" s="222"/>
      <c r="AG7" s="222"/>
      <c r="AH7" s="222"/>
      <c r="AI7" s="222"/>
      <c r="AJ7" s="222"/>
      <c r="AK7" s="222"/>
      <c r="AL7" s="224"/>
      <c r="AM7" s="224"/>
      <c r="AN7" s="224"/>
      <c r="AO7" s="224"/>
      <c r="AP7" s="224"/>
      <c r="AQ7" s="224"/>
      <c r="AR7" s="224"/>
    </row>
    <row r="8" spans="1:45" s="228" customFormat="1">
      <c r="A8" s="227" t="s">
        <v>273</v>
      </c>
      <c r="F8" s="224"/>
      <c r="G8" s="224"/>
      <c r="H8" s="224"/>
      <c r="I8" s="224"/>
      <c r="J8" s="224"/>
      <c r="K8" s="224"/>
      <c r="L8" s="224"/>
      <c r="M8" s="224"/>
      <c r="T8" s="228" t="s">
        <v>274</v>
      </c>
      <c r="U8" s="229" t="s">
        <v>158</v>
      </c>
      <c r="V8" s="229"/>
      <c r="W8" s="229"/>
      <c r="Y8" s="229">
        <f>U10</f>
        <v>1</v>
      </c>
      <c r="Z8" s="228">
        <f>U11</f>
        <v>1</v>
      </c>
      <c r="AA8" s="228">
        <f>U12</f>
        <v>1</v>
      </c>
      <c r="AB8" s="228">
        <f>U13</f>
        <v>3</v>
      </c>
      <c r="AC8" s="228">
        <f>U14</f>
        <v>3</v>
      </c>
      <c r="AD8" s="228">
        <f>U15</f>
        <v>4</v>
      </c>
      <c r="AE8" s="228">
        <f>U16</f>
        <v>4</v>
      </c>
      <c r="AF8" s="228">
        <f>U17</f>
        <v>5</v>
      </c>
      <c r="AG8" s="228">
        <f>U18</f>
        <v>6</v>
      </c>
      <c r="AH8" s="228">
        <f>U19</f>
        <v>7</v>
      </c>
      <c r="AI8" s="228">
        <f>U20</f>
        <v>8</v>
      </c>
      <c r="AJ8" s="228">
        <f>U21</f>
        <v>9</v>
      </c>
      <c r="AK8" s="228">
        <f>U22</f>
        <v>10</v>
      </c>
      <c r="AL8" s="228">
        <f>U23</f>
        <v>11</v>
      </c>
      <c r="AM8" s="228">
        <f>U24</f>
        <v>14</v>
      </c>
      <c r="AN8" s="228">
        <f>U25</f>
        <v>17</v>
      </c>
      <c r="AO8" s="228">
        <f>U26</f>
        <v>20</v>
      </c>
      <c r="AP8" s="228">
        <f>U27</f>
        <v>22</v>
      </c>
      <c r="AQ8" s="228">
        <f>U28</f>
        <v>23</v>
      </c>
      <c r="AR8" s="228">
        <f>U29</f>
        <v>46</v>
      </c>
    </row>
    <row r="9" spans="1:45">
      <c r="A9" s="230"/>
      <c r="B9" s="225">
        <f>A10</f>
        <v>1</v>
      </c>
      <c r="C9" s="225">
        <f>A11</f>
        <v>2</v>
      </c>
      <c r="D9" s="225">
        <f>A12</f>
        <v>3</v>
      </c>
      <c r="E9" s="225">
        <f>A13</f>
        <v>4</v>
      </c>
      <c r="F9" s="225">
        <f>A14</f>
        <v>5</v>
      </c>
      <c r="G9" s="225">
        <f>A15</f>
        <v>6</v>
      </c>
      <c r="H9" s="225">
        <f>A16</f>
        <v>7</v>
      </c>
      <c r="I9" s="225">
        <f>A17</f>
        <v>8</v>
      </c>
      <c r="J9" s="225">
        <f>A18</f>
        <v>9</v>
      </c>
      <c r="K9" s="225">
        <f>A19</f>
        <v>10</v>
      </c>
      <c r="L9" s="225">
        <f>A20</f>
        <v>11</v>
      </c>
      <c r="M9" s="225">
        <f>A21</f>
        <v>14</v>
      </c>
      <c r="N9" s="225">
        <f>A22</f>
        <v>17</v>
      </c>
      <c r="O9" s="225">
        <f>A23</f>
        <v>20</v>
      </c>
      <c r="P9" s="225">
        <f>A24</f>
        <v>22</v>
      </c>
      <c r="Q9" s="225">
        <f>A25</f>
        <v>23</v>
      </c>
      <c r="R9" s="225">
        <f>A26</f>
        <v>46</v>
      </c>
      <c r="T9" s="221" t="s">
        <v>159</v>
      </c>
      <c r="U9" s="225" t="s">
        <v>159</v>
      </c>
      <c r="V9" s="224"/>
      <c r="W9" s="231" t="s">
        <v>160</v>
      </c>
      <c r="X9" s="232" t="s">
        <v>135</v>
      </c>
      <c r="Y9" s="231" t="str">
        <f>V10</f>
        <v>CH3</v>
      </c>
      <c r="Z9" s="231" t="str">
        <f>V11</f>
        <v>CH2</v>
      </c>
      <c r="AA9" s="231" t="str">
        <f>V12</f>
        <v>CH</v>
      </c>
      <c r="AB9" s="231" t="str">
        <f>V13</f>
        <v>ACH</v>
      </c>
      <c r="AC9" s="231" t="str">
        <f>V14</f>
        <v>AC</v>
      </c>
      <c r="AD9" s="231" t="str">
        <f>V15</f>
        <v>ACCH3</v>
      </c>
      <c r="AE9" s="231" t="str">
        <f>V16</f>
        <v>ACCH2</v>
      </c>
      <c r="AF9" s="231" t="str">
        <f>V17</f>
        <v>OH</v>
      </c>
      <c r="AG9" s="231" t="str">
        <f>V18</f>
        <v>CH3OH</v>
      </c>
      <c r="AH9" s="231" t="str">
        <f>V19</f>
        <v>H2O</v>
      </c>
      <c r="AI9" s="231" t="str">
        <f>V20</f>
        <v>ACOH</v>
      </c>
      <c r="AJ9" s="231" t="str">
        <f>V21</f>
        <v>CH3CO</v>
      </c>
      <c r="AK9" s="231" t="str">
        <f>V22</f>
        <v>CHO</v>
      </c>
      <c r="AL9" s="231" t="str">
        <f>V23</f>
        <v>CH3COO</v>
      </c>
      <c r="AM9" s="231" t="str">
        <f>V24</f>
        <v>CH2NH2</v>
      </c>
      <c r="AN9" s="231" t="str">
        <f>V25</f>
        <v>ACNH2</v>
      </c>
      <c r="AO9" s="231" t="str">
        <f>V26</f>
        <v>COOH</v>
      </c>
      <c r="AP9" s="231" t="str">
        <f>V27</f>
        <v>CCL2</v>
      </c>
      <c r="AQ9" s="231" t="str">
        <f>V28</f>
        <v>CCL3</v>
      </c>
      <c r="AR9" s="231" t="str">
        <f>V29</f>
        <v>CON(CH2)2</v>
      </c>
      <c r="AS9" s="233"/>
    </row>
    <row r="10" spans="1:45">
      <c r="A10" s="234">
        <v>1</v>
      </c>
      <c r="B10" s="235">
        <v>0</v>
      </c>
      <c r="C10" s="236">
        <v>86.02</v>
      </c>
      <c r="D10" s="236">
        <v>61.13</v>
      </c>
      <c r="E10" s="236">
        <v>76.5</v>
      </c>
      <c r="F10" s="236">
        <v>986.5</v>
      </c>
      <c r="G10" s="236">
        <v>697.2</v>
      </c>
      <c r="H10" s="236">
        <v>1318</v>
      </c>
      <c r="I10" s="236">
        <v>1333</v>
      </c>
      <c r="J10" s="236">
        <v>476.4</v>
      </c>
      <c r="K10" s="236">
        <v>677</v>
      </c>
      <c r="L10" s="236">
        <v>232.1</v>
      </c>
      <c r="M10" s="236">
        <v>391.5</v>
      </c>
      <c r="N10" s="236">
        <v>920.7</v>
      </c>
      <c r="O10" s="236">
        <v>663.5</v>
      </c>
      <c r="P10" s="236">
        <v>53.76</v>
      </c>
      <c r="Q10" s="236">
        <v>24.9</v>
      </c>
      <c r="R10" s="237">
        <v>380.9</v>
      </c>
      <c r="T10" s="221">
        <f>'UNIFAC (VLE)'!A23</f>
        <v>1</v>
      </c>
      <c r="U10" s="225">
        <f t="shared" ref="U10:U29" si="0">VLOOKUP($T10,$A$34:$E$63,2,FALSE)</f>
        <v>1</v>
      </c>
      <c r="V10" s="238" t="str">
        <f t="shared" ref="V10:V29" si="1">VLOOKUP($T10,$A$34:$E$63,3,FALSE)</f>
        <v>CH3</v>
      </c>
      <c r="W10" s="239">
        <f t="shared" ref="W10:W29" si="2">VLOOKUP($T10,$A$34:$E$63,4,FALSE)</f>
        <v>0.90110000000000001</v>
      </c>
      <c r="X10" s="239">
        <f t="shared" ref="X10:X29" si="3">VLOOKUP($T10,$A$34:$E$63,5,FALSE)</f>
        <v>0.84799999999999998</v>
      </c>
      <c r="Y10" s="240">
        <f t="shared" ref="Y10:Y29" si="4">INDEX(MGaij,MATCH($U10,row,0),MATCH(Y$8,column,0))</f>
        <v>0</v>
      </c>
      <c r="Z10" s="241">
        <f t="shared" ref="Z10:AR23" si="5">INDEX(MGaij,MATCH($U10,row,0),MATCH(Z$8,column,0))</f>
        <v>0</v>
      </c>
      <c r="AA10" s="241">
        <f t="shared" si="5"/>
        <v>0</v>
      </c>
      <c r="AB10" s="241">
        <f t="shared" si="5"/>
        <v>61.13</v>
      </c>
      <c r="AC10" s="241">
        <f t="shared" si="5"/>
        <v>61.13</v>
      </c>
      <c r="AD10" s="241">
        <f t="shared" si="5"/>
        <v>76.5</v>
      </c>
      <c r="AE10" s="241">
        <f t="shared" si="5"/>
        <v>76.5</v>
      </c>
      <c r="AF10" s="241">
        <f t="shared" si="5"/>
        <v>986.5</v>
      </c>
      <c r="AG10" s="241">
        <f t="shared" si="5"/>
        <v>697.2</v>
      </c>
      <c r="AH10" s="241">
        <f t="shared" si="5"/>
        <v>1318</v>
      </c>
      <c r="AI10" s="241">
        <f t="shared" si="5"/>
        <v>1333</v>
      </c>
      <c r="AJ10" s="241">
        <f t="shared" si="5"/>
        <v>476.4</v>
      </c>
      <c r="AK10" s="241">
        <f t="shared" si="5"/>
        <v>677</v>
      </c>
      <c r="AL10" s="241">
        <f t="shared" si="5"/>
        <v>232.1</v>
      </c>
      <c r="AM10" s="241">
        <f t="shared" si="5"/>
        <v>391.5</v>
      </c>
      <c r="AN10" s="241">
        <f t="shared" si="5"/>
        <v>920.7</v>
      </c>
      <c r="AO10" s="241">
        <f t="shared" si="5"/>
        <v>663.5</v>
      </c>
      <c r="AP10" s="241">
        <f t="shared" si="5"/>
        <v>53.76</v>
      </c>
      <c r="AQ10" s="241">
        <f t="shared" si="5"/>
        <v>24.9</v>
      </c>
      <c r="AR10" s="241">
        <f t="shared" si="5"/>
        <v>380.9</v>
      </c>
      <c r="AS10" s="238" t="str">
        <f t="shared" ref="AS10:AS29" si="6">V10</f>
        <v>CH3</v>
      </c>
    </row>
    <row r="11" spans="1:45">
      <c r="A11" s="234">
        <v>2</v>
      </c>
      <c r="B11" s="242">
        <v>-35.36</v>
      </c>
      <c r="C11" s="243">
        <v>0</v>
      </c>
      <c r="D11" s="243">
        <v>38.81</v>
      </c>
      <c r="E11" s="243">
        <v>74.150000000000006</v>
      </c>
      <c r="F11" s="243">
        <v>524.1</v>
      </c>
      <c r="G11" s="243">
        <v>787.6</v>
      </c>
      <c r="H11" s="243">
        <v>270.60000000000002</v>
      </c>
      <c r="I11" s="243">
        <v>526.1</v>
      </c>
      <c r="J11" s="243">
        <v>182.6</v>
      </c>
      <c r="K11" s="243">
        <v>448.8</v>
      </c>
      <c r="L11" s="243">
        <v>37.85</v>
      </c>
      <c r="M11" s="243">
        <v>240.9</v>
      </c>
      <c r="N11" s="243">
        <v>749.3</v>
      </c>
      <c r="O11" s="243">
        <v>318.89999999999998</v>
      </c>
      <c r="P11" s="243">
        <v>58.55</v>
      </c>
      <c r="Q11" s="243">
        <v>-13.99</v>
      </c>
      <c r="R11" s="244">
        <v>200.2</v>
      </c>
      <c r="T11" s="221">
        <f>'UNIFAC (VLE)'!A24</f>
        <v>2</v>
      </c>
      <c r="U11" s="225">
        <f t="shared" si="0"/>
        <v>1</v>
      </c>
      <c r="V11" s="238" t="str">
        <f t="shared" si="1"/>
        <v>CH2</v>
      </c>
      <c r="W11" s="239">
        <f t="shared" si="2"/>
        <v>0.6744</v>
      </c>
      <c r="X11" s="239">
        <f t="shared" si="3"/>
        <v>0.54</v>
      </c>
      <c r="Y11" s="245">
        <f t="shared" si="4"/>
        <v>0</v>
      </c>
      <c r="Z11" s="239">
        <f t="shared" si="5"/>
        <v>0</v>
      </c>
      <c r="AA11" s="239">
        <f t="shared" si="5"/>
        <v>0</v>
      </c>
      <c r="AB11" s="239">
        <f t="shared" si="5"/>
        <v>61.13</v>
      </c>
      <c r="AC11" s="239">
        <f t="shared" si="5"/>
        <v>61.13</v>
      </c>
      <c r="AD11" s="239">
        <f t="shared" si="5"/>
        <v>76.5</v>
      </c>
      <c r="AE11" s="239">
        <f t="shared" si="5"/>
        <v>76.5</v>
      </c>
      <c r="AF11" s="239">
        <f t="shared" si="5"/>
        <v>986.5</v>
      </c>
      <c r="AG11" s="239">
        <f t="shared" si="5"/>
        <v>697.2</v>
      </c>
      <c r="AH11" s="239">
        <f t="shared" si="5"/>
        <v>1318</v>
      </c>
      <c r="AI11" s="239">
        <f t="shared" si="5"/>
        <v>1333</v>
      </c>
      <c r="AJ11" s="239">
        <f t="shared" si="5"/>
        <v>476.4</v>
      </c>
      <c r="AK11" s="239">
        <f t="shared" si="5"/>
        <v>677</v>
      </c>
      <c r="AL11" s="239">
        <f t="shared" si="5"/>
        <v>232.1</v>
      </c>
      <c r="AM11" s="239">
        <f t="shared" si="5"/>
        <v>391.5</v>
      </c>
      <c r="AN11" s="239">
        <f t="shared" si="5"/>
        <v>920.7</v>
      </c>
      <c r="AO11" s="239">
        <f t="shared" si="5"/>
        <v>663.5</v>
      </c>
      <c r="AP11" s="239">
        <f t="shared" si="5"/>
        <v>53.76</v>
      </c>
      <c r="AQ11" s="239">
        <f t="shared" si="5"/>
        <v>24.9</v>
      </c>
      <c r="AR11" s="246">
        <f t="shared" si="5"/>
        <v>380.9</v>
      </c>
      <c r="AS11" s="238" t="str">
        <f t="shared" si="6"/>
        <v>CH2</v>
      </c>
    </row>
    <row r="12" spans="1:45">
      <c r="A12" s="234">
        <v>3</v>
      </c>
      <c r="B12" s="242">
        <v>-11.12</v>
      </c>
      <c r="C12" s="243">
        <v>3.4460000000000002</v>
      </c>
      <c r="D12" s="243">
        <v>0</v>
      </c>
      <c r="E12" s="243">
        <v>167</v>
      </c>
      <c r="F12" s="243">
        <v>636.1</v>
      </c>
      <c r="G12" s="243">
        <v>637.29999999999995</v>
      </c>
      <c r="H12" s="243">
        <v>903.8</v>
      </c>
      <c r="I12" s="243">
        <v>1329</v>
      </c>
      <c r="J12" s="243">
        <v>25.77</v>
      </c>
      <c r="K12" s="243">
        <v>347.3</v>
      </c>
      <c r="L12" s="243">
        <v>5.9939999999999998</v>
      </c>
      <c r="M12" s="243">
        <v>161.69999999999999</v>
      </c>
      <c r="N12" s="243">
        <v>648.20000000000005</v>
      </c>
      <c r="O12" s="243">
        <v>537.4</v>
      </c>
      <c r="P12" s="243">
        <v>-144.4</v>
      </c>
      <c r="Q12" s="243">
        <v>-231.9</v>
      </c>
      <c r="R12" s="244"/>
      <c r="T12" s="221">
        <f>'UNIFAC (VLE)'!A25</f>
        <v>3</v>
      </c>
      <c r="U12" s="225">
        <f t="shared" si="0"/>
        <v>1</v>
      </c>
      <c r="V12" s="238" t="str">
        <f t="shared" si="1"/>
        <v>CH</v>
      </c>
      <c r="W12" s="239">
        <f t="shared" si="2"/>
        <v>0.44690000000000002</v>
      </c>
      <c r="X12" s="239">
        <f t="shared" si="3"/>
        <v>0.22800000000000001</v>
      </c>
      <c r="Y12" s="245">
        <f t="shared" si="4"/>
        <v>0</v>
      </c>
      <c r="Z12" s="239">
        <f t="shared" si="5"/>
        <v>0</v>
      </c>
      <c r="AA12" s="239">
        <f t="shared" si="5"/>
        <v>0</v>
      </c>
      <c r="AB12" s="239">
        <f t="shared" si="5"/>
        <v>61.13</v>
      </c>
      <c r="AC12" s="239">
        <f t="shared" si="5"/>
        <v>61.13</v>
      </c>
      <c r="AD12" s="239">
        <f t="shared" si="5"/>
        <v>76.5</v>
      </c>
      <c r="AE12" s="239">
        <f t="shared" si="5"/>
        <v>76.5</v>
      </c>
      <c r="AF12" s="239">
        <f t="shared" si="5"/>
        <v>986.5</v>
      </c>
      <c r="AG12" s="239">
        <f t="shared" si="5"/>
        <v>697.2</v>
      </c>
      <c r="AH12" s="239">
        <f t="shared" si="5"/>
        <v>1318</v>
      </c>
      <c r="AI12" s="239">
        <f t="shared" si="5"/>
        <v>1333</v>
      </c>
      <c r="AJ12" s="239">
        <f t="shared" si="5"/>
        <v>476.4</v>
      </c>
      <c r="AK12" s="239">
        <f t="shared" si="5"/>
        <v>677</v>
      </c>
      <c r="AL12" s="239">
        <f t="shared" si="5"/>
        <v>232.1</v>
      </c>
      <c r="AM12" s="239">
        <f t="shared" si="5"/>
        <v>391.5</v>
      </c>
      <c r="AN12" s="239">
        <f t="shared" si="5"/>
        <v>920.7</v>
      </c>
      <c r="AO12" s="239">
        <f t="shared" si="5"/>
        <v>663.5</v>
      </c>
      <c r="AP12" s="239">
        <f t="shared" si="5"/>
        <v>53.76</v>
      </c>
      <c r="AQ12" s="239">
        <f t="shared" si="5"/>
        <v>24.9</v>
      </c>
      <c r="AR12" s="246">
        <f t="shared" si="5"/>
        <v>380.9</v>
      </c>
      <c r="AS12" s="238" t="str">
        <f t="shared" si="6"/>
        <v>CH</v>
      </c>
    </row>
    <row r="13" spans="1:45">
      <c r="A13" s="234">
        <v>4</v>
      </c>
      <c r="B13" s="242">
        <v>-69.7</v>
      </c>
      <c r="C13" s="243">
        <v>-113.6</v>
      </c>
      <c r="D13" s="243">
        <v>-146.80000000000001</v>
      </c>
      <c r="E13" s="243">
        <v>0</v>
      </c>
      <c r="F13" s="243">
        <v>803.2</v>
      </c>
      <c r="G13" s="243">
        <v>603.20000000000005</v>
      </c>
      <c r="H13" s="243">
        <v>5695</v>
      </c>
      <c r="I13" s="243">
        <v>884.9</v>
      </c>
      <c r="J13" s="243">
        <v>-52.1</v>
      </c>
      <c r="K13" s="243">
        <v>586.6</v>
      </c>
      <c r="L13" s="243">
        <v>5688</v>
      </c>
      <c r="M13" s="243">
        <v>19.02</v>
      </c>
      <c r="N13" s="243">
        <v>664.2</v>
      </c>
      <c r="O13" s="243">
        <v>872.3</v>
      </c>
      <c r="P13" s="243">
        <v>-111</v>
      </c>
      <c r="Q13" s="243">
        <v>-80.25</v>
      </c>
      <c r="R13" s="244"/>
      <c r="T13" s="221">
        <f>'UNIFAC (VLE)'!A26</f>
        <v>9</v>
      </c>
      <c r="U13" s="225">
        <f t="shared" si="0"/>
        <v>3</v>
      </c>
      <c r="V13" s="238" t="str">
        <f t="shared" si="1"/>
        <v>ACH</v>
      </c>
      <c r="W13" s="239">
        <f t="shared" si="2"/>
        <v>0.53129999999999999</v>
      </c>
      <c r="X13" s="239">
        <f t="shared" si="3"/>
        <v>0.4</v>
      </c>
      <c r="Y13" s="245">
        <f t="shared" si="4"/>
        <v>-11.12</v>
      </c>
      <c r="Z13" s="239">
        <f t="shared" si="5"/>
        <v>-11.12</v>
      </c>
      <c r="AA13" s="239">
        <f t="shared" si="5"/>
        <v>-11.12</v>
      </c>
      <c r="AB13" s="239">
        <f t="shared" si="5"/>
        <v>0</v>
      </c>
      <c r="AC13" s="239">
        <f t="shared" si="5"/>
        <v>0</v>
      </c>
      <c r="AD13" s="239">
        <f t="shared" si="5"/>
        <v>167</v>
      </c>
      <c r="AE13" s="239">
        <f t="shared" si="5"/>
        <v>167</v>
      </c>
      <c r="AF13" s="239">
        <f t="shared" si="5"/>
        <v>636.1</v>
      </c>
      <c r="AG13" s="239">
        <f t="shared" si="5"/>
        <v>637.29999999999995</v>
      </c>
      <c r="AH13" s="239">
        <f t="shared" si="5"/>
        <v>903.8</v>
      </c>
      <c r="AI13" s="239">
        <f t="shared" si="5"/>
        <v>1329</v>
      </c>
      <c r="AJ13" s="239">
        <f t="shared" si="5"/>
        <v>25.77</v>
      </c>
      <c r="AK13" s="239">
        <f t="shared" si="5"/>
        <v>347.3</v>
      </c>
      <c r="AL13" s="239">
        <f t="shared" si="5"/>
        <v>5.9939999999999998</v>
      </c>
      <c r="AM13" s="239">
        <f t="shared" si="5"/>
        <v>161.69999999999999</v>
      </c>
      <c r="AN13" s="239">
        <f t="shared" si="5"/>
        <v>648.20000000000005</v>
      </c>
      <c r="AO13" s="239">
        <f t="shared" si="5"/>
        <v>537.4</v>
      </c>
      <c r="AP13" s="239">
        <f t="shared" si="5"/>
        <v>-144.4</v>
      </c>
      <c r="AQ13" s="239">
        <f t="shared" si="5"/>
        <v>-231.9</v>
      </c>
      <c r="AR13" s="246">
        <f t="shared" si="5"/>
        <v>0</v>
      </c>
      <c r="AS13" s="238" t="str">
        <f t="shared" si="6"/>
        <v>ACH</v>
      </c>
    </row>
    <row r="14" spans="1:45">
      <c r="A14" s="234">
        <v>5</v>
      </c>
      <c r="B14" s="242">
        <v>156.4</v>
      </c>
      <c r="C14" s="243">
        <v>457</v>
      </c>
      <c r="D14" s="243">
        <v>89.6</v>
      </c>
      <c r="E14" s="243">
        <v>25.82</v>
      </c>
      <c r="F14" s="243">
        <v>0</v>
      </c>
      <c r="G14" s="243">
        <v>-137.1</v>
      </c>
      <c r="H14" s="243">
        <v>353.5</v>
      </c>
      <c r="I14" s="243">
        <v>-259.7</v>
      </c>
      <c r="J14" s="243">
        <v>84</v>
      </c>
      <c r="K14" s="243">
        <v>-203.6</v>
      </c>
      <c r="L14" s="243">
        <v>101.1</v>
      </c>
      <c r="M14" s="243">
        <v>8.6419999999999995</v>
      </c>
      <c r="N14" s="243">
        <v>-52.39</v>
      </c>
      <c r="O14" s="243">
        <v>199</v>
      </c>
      <c r="P14" s="243">
        <v>65.28</v>
      </c>
      <c r="Q14" s="243">
        <v>-98.12</v>
      </c>
      <c r="R14" s="244">
        <v>-382.7</v>
      </c>
      <c r="T14" s="221">
        <f>'UNIFAC (VLE)'!A27</f>
        <v>10</v>
      </c>
      <c r="U14" s="225">
        <f t="shared" si="0"/>
        <v>3</v>
      </c>
      <c r="V14" s="238" t="str">
        <f t="shared" si="1"/>
        <v>AC</v>
      </c>
      <c r="W14" s="239">
        <f t="shared" si="2"/>
        <v>0.36520000000000002</v>
      </c>
      <c r="X14" s="239">
        <f t="shared" si="3"/>
        <v>0.12</v>
      </c>
      <c r="Y14" s="245">
        <f t="shared" si="4"/>
        <v>-11.12</v>
      </c>
      <c r="Z14" s="239">
        <f t="shared" si="5"/>
        <v>-11.12</v>
      </c>
      <c r="AA14" s="239">
        <f t="shared" si="5"/>
        <v>-11.12</v>
      </c>
      <c r="AB14" s="239">
        <f t="shared" si="5"/>
        <v>0</v>
      </c>
      <c r="AC14" s="239">
        <f t="shared" si="5"/>
        <v>0</v>
      </c>
      <c r="AD14" s="239">
        <f t="shared" si="5"/>
        <v>167</v>
      </c>
      <c r="AE14" s="239">
        <f t="shared" si="5"/>
        <v>167</v>
      </c>
      <c r="AF14" s="239">
        <f t="shared" si="5"/>
        <v>636.1</v>
      </c>
      <c r="AG14" s="239">
        <f t="shared" si="5"/>
        <v>637.29999999999995</v>
      </c>
      <c r="AH14" s="239">
        <f t="shared" si="5"/>
        <v>903.8</v>
      </c>
      <c r="AI14" s="239">
        <f t="shared" si="5"/>
        <v>1329</v>
      </c>
      <c r="AJ14" s="239">
        <f t="shared" si="5"/>
        <v>25.77</v>
      </c>
      <c r="AK14" s="239">
        <f t="shared" si="5"/>
        <v>347.3</v>
      </c>
      <c r="AL14" s="239">
        <f t="shared" si="5"/>
        <v>5.9939999999999998</v>
      </c>
      <c r="AM14" s="239">
        <f t="shared" si="5"/>
        <v>161.69999999999999</v>
      </c>
      <c r="AN14" s="239">
        <f t="shared" si="5"/>
        <v>648.20000000000005</v>
      </c>
      <c r="AO14" s="239">
        <f t="shared" si="5"/>
        <v>537.4</v>
      </c>
      <c r="AP14" s="239">
        <f t="shared" si="5"/>
        <v>-144.4</v>
      </c>
      <c r="AQ14" s="239">
        <f t="shared" si="5"/>
        <v>-231.9</v>
      </c>
      <c r="AR14" s="246">
        <f t="shared" si="5"/>
        <v>0</v>
      </c>
      <c r="AS14" s="238" t="str">
        <f t="shared" si="6"/>
        <v>AC</v>
      </c>
    </row>
    <row r="15" spans="1:45">
      <c r="A15" s="234">
        <v>6</v>
      </c>
      <c r="B15" s="242">
        <v>16.510000000000002</v>
      </c>
      <c r="C15" s="243">
        <v>-12.52</v>
      </c>
      <c r="D15" s="243">
        <v>-50</v>
      </c>
      <c r="E15" s="243">
        <v>-44.5</v>
      </c>
      <c r="F15" s="243">
        <v>249.1</v>
      </c>
      <c r="G15" s="243">
        <v>0</v>
      </c>
      <c r="H15" s="243">
        <v>-181</v>
      </c>
      <c r="I15" s="243">
        <v>-101.7</v>
      </c>
      <c r="J15" s="243">
        <v>23.39</v>
      </c>
      <c r="K15" s="243">
        <v>306.39999999999998</v>
      </c>
      <c r="L15" s="243">
        <v>-10.72</v>
      </c>
      <c r="M15" s="243">
        <v>359.3</v>
      </c>
      <c r="N15" s="243">
        <v>489.7</v>
      </c>
      <c r="O15" s="243">
        <v>-202</v>
      </c>
      <c r="P15" s="243">
        <v>-102.5</v>
      </c>
      <c r="Q15" s="243">
        <v>-139.4</v>
      </c>
      <c r="R15" s="244"/>
      <c r="T15" s="221">
        <f>'UNIFAC (VLE)'!A28</f>
        <v>11</v>
      </c>
      <c r="U15" s="225">
        <f t="shared" si="0"/>
        <v>4</v>
      </c>
      <c r="V15" s="238" t="str">
        <f t="shared" si="1"/>
        <v>ACCH3</v>
      </c>
      <c r="W15" s="239">
        <f t="shared" si="2"/>
        <v>1.2663</v>
      </c>
      <c r="X15" s="239">
        <f t="shared" si="3"/>
        <v>0.96799999999999997</v>
      </c>
      <c r="Y15" s="245">
        <f t="shared" si="4"/>
        <v>-69.7</v>
      </c>
      <c r="Z15" s="239">
        <f t="shared" si="5"/>
        <v>-69.7</v>
      </c>
      <c r="AA15" s="239">
        <f t="shared" si="5"/>
        <v>-69.7</v>
      </c>
      <c r="AB15" s="239">
        <f t="shared" si="5"/>
        <v>-146.80000000000001</v>
      </c>
      <c r="AC15" s="239">
        <f t="shared" si="5"/>
        <v>-146.80000000000001</v>
      </c>
      <c r="AD15" s="239">
        <f t="shared" si="5"/>
        <v>0</v>
      </c>
      <c r="AE15" s="239">
        <f t="shared" si="5"/>
        <v>0</v>
      </c>
      <c r="AF15" s="239">
        <f t="shared" si="5"/>
        <v>803.2</v>
      </c>
      <c r="AG15" s="239">
        <f t="shared" si="5"/>
        <v>603.20000000000005</v>
      </c>
      <c r="AH15" s="239">
        <f t="shared" si="5"/>
        <v>5695</v>
      </c>
      <c r="AI15" s="239">
        <f t="shared" si="5"/>
        <v>884.9</v>
      </c>
      <c r="AJ15" s="239">
        <f t="shared" si="5"/>
        <v>-52.1</v>
      </c>
      <c r="AK15" s="239">
        <f t="shared" si="5"/>
        <v>586.6</v>
      </c>
      <c r="AL15" s="239">
        <f t="shared" si="5"/>
        <v>5688</v>
      </c>
      <c r="AM15" s="239">
        <f t="shared" si="5"/>
        <v>19.02</v>
      </c>
      <c r="AN15" s="239">
        <f t="shared" si="5"/>
        <v>664.2</v>
      </c>
      <c r="AO15" s="239">
        <f t="shared" si="5"/>
        <v>872.3</v>
      </c>
      <c r="AP15" s="239">
        <f t="shared" si="5"/>
        <v>-111</v>
      </c>
      <c r="AQ15" s="239">
        <f t="shared" si="5"/>
        <v>-80.25</v>
      </c>
      <c r="AR15" s="246">
        <f t="shared" si="5"/>
        <v>0</v>
      </c>
      <c r="AS15" s="238" t="str">
        <f t="shared" si="6"/>
        <v>ACCH3</v>
      </c>
    </row>
    <row r="16" spans="1:45">
      <c r="A16" s="234">
        <v>7</v>
      </c>
      <c r="B16" s="242">
        <v>300</v>
      </c>
      <c r="C16" s="243">
        <v>496.1</v>
      </c>
      <c r="D16" s="243">
        <v>362.3</v>
      </c>
      <c r="E16" s="243">
        <v>377.6</v>
      </c>
      <c r="F16" s="243">
        <v>-229.1</v>
      </c>
      <c r="G16" s="243">
        <v>289.60000000000002</v>
      </c>
      <c r="H16" s="243">
        <v>0</v>
      </c>
      <c r="I16" s="243">
        <v>324.5</v>
      </c>
      <c r="J16" s="243">
        <v>-195.4</v>
      </c>
      <c r="K16" s="243">
        <v>-116</v>
      </c>
      <c r="L16" s="243">
        <v>72.87</v>
      </c>
      <c r="M16" s="243">
        <v>48.89</v>
      </c>
      <c r="N16" s="243">
        <v>243.2</v>
      </c>
      <c r="O16" s="243">
        <v>-14.09</v>
      </c>
      <c r="P16" s="243">
        <v>370.4</v>
      </c>
      <c r="Q16" s="243">
        <v>353.7</v>
      </c>
      <c r="R16" s="244">
        <v>835.6</v>
      </c>
      <c r="T16" s="221">
        <f>'UNIFAC (VLE)'!A29</f>
        <v>12</v>
      </c>
      <c r="U16" s="225">
        <f t="shared" si="0"/>
        <v>4</v>
      </c>
      <c r="V16" s="238" t="str">
        <f t="shared" si="1"/>
        <v>ACCH2</v>
      </c>
      <c r="W16" s="239">
        <f t="shared" si="2"/>
        <v>1.0396000000000001</v>
      </c>
      <c r="X16" s="239">
        <f t="shared" si="3"/>
        <v>0.66</v>
      </c>
      <c r="Y16" s="245">
        <f t="shared" si="4"/>
        <v>-69.7</v>
      </c>
      <c r="Z16" s="239">
        <f t="shared" si="5"/>
        <v>-69.7</v>
      </c>
      <c r="AA16" s="239">
        <f t="shared" si="5"/>
        <v>-69.7</v>
      </c>
      <c r="AB16" s="239">
        <f t="shared" si="5"/>
        <v>-146.80000000000001</v>
      </c>
      <c r="AC16" s="239">
        <f t="shared" si="5"/>
        <v>-146.80000000000001</v>
      </c>
      <c r="AD16" s="239">
        <f t="shared" si="5"/>
        <v>0</v>
      </c>
      <c r="AE16" s="239">
        <f t="shared" si="5"/>
        <v>0</v>
      </c>
      <c r="AF16" s="239">
        <f t="shared" si="5"/>
        <v>803.2</v>
      </c>
      <c r="AG16" s="239">
        <f t="shared" si="5"/>
        <v>603.20000000000005</v>
      </c>
      <c r="AH16" s="239">
        <f t="shared" si="5"/>
        <v>5695</v>
      </c>
      <c r="AI16" s="239">
        <f t="shared" si="5"/>
        <v>884.9</v>
      </c>
      <c r="AJ16" s="239">
        <f t="shared" si="5"/>
        <v>-52.1</v>
      </c>
      <c r="AK16" s="239">
        <f t="shared" si="5"/>
        <v>586.6</v>
      </c>
      <c r="AL16" s="239">
        <f t="shared" si="5"/>
        <v>5688</v>
      </c>
      <c r="AM16" s="239">
        <f t="shared" si="5"/>
        <v>19.02</v>
      </c>
      <c r="AN16" s="239">
        <f t="shared" si="5"/>
        <v>664.2</v>
      </c>
      <c r="AO16" s="239">
        <f t="shared" si="5"/>
        <v>872.3</v>
      </c>
      <c r="AP16" s="239">
        <f t="shared" si="5"/>
        <v>-111</v>
      </c>
      <c r="AQ16" s="239">
        <f t="shared" si="5"/>
        <v>-80.25</v>
      </c>
      <c r="AR16" s="246">
        <f t="shared" si="5"/>
        <v>0</v>
      </c>
      <c r="AS16" s="238" t="str">
        <f t="shared" si="6"/>
        <v>ACCH2</v>
      </c>
    </row>
    <row r="17" spans="1:45">
      <c r="A17" s="234">
        <v>8</v>
      </c>
      <c r="B17" s="242">
        <v>275.8</v>
      </c>
      <c r="C17" s="243">
        <v>217.5</v>
      </c>
      <c r="D17" s="243">
        <v>25.34</v>
      </c>
      <c r="E17" s="243">
        <v>244.2</v>
      </c>
      <c r="F17" s="243">
        <v>-451.6</v>
      </c>
      <c r="G17" s="243">
        <v>-265.2</v>
      </c>
      <c r="H17" s="243">
        <v>-601.79999999999995</v>
      </c>
      <c r="I17" s="243">
        <v>0</v>
      </c>
      <c r="J17" s="243">
        <v>-356.1</v>
      </c>
      <c r="K17" s="243">
        <v>-271.10000000000002</v>
      </c>
      <c r="L17" s="243">
        <v>-449.4</v>
      </c>
      <c r="M17" s="243"/>
      <c r="N17" s="243">
        <v>119.9</v>
      </c>
      <c r="O17" s="243">
        <v>408.9</v>
      </c>
      <c r="P17" s="243"/>
      <c r="Q17" s="243"/>
      <c r="R17" s="244"/>
      <c r="T17" s="221">
        <f>'UNIFAC (VLE)'!A30</f>
        <v>14</v>
      </c>
      <c r="U17" s="225">
        <f t="shared" si="0"/>
        <v>5</v>
      </c>
      <c r="V17" s="238" t="str">
        <f t="shared" si="1"/>
        <v>OH</v>
      </c>
      <c r="W17" s="239">
        <f t="shared" si="2"/>
        <v>1</v>
      </c>
      <c r="X17" s="239">
        <f t="shared" si="3"/>
        <v>1.2</v>
      </c>
      <c r="Y17" s="245">
        <f t="shared" si="4"/>
        <v>156.4</v>
      </c>
      <c r="Z17" s="239">
        <f t="shared" si="5"/>
        <v>156.4</v>
      </c>
      <c r="AA17" s="239">
        <f t="shared" si="5"/>
        <v>156.4</v>
      </c>
      <c r="AB17" s="239">
        <f t="shared" si="5"/>
        <v>89.6</v>
      </c>
      <c r="AC17" s="239">
        <f t="shared" si="5"/>
        <v>89.6</v>
      </c>
      <c r="AD17" s="239">
        <f t="shared" si="5"/>
        <v>25.82</v>
      </c>
      <c r="AE17" s="239">
        <f t="shared" si="5"/>
        <v>25.82</v>
      </c>
      <c r="AF17" s="239">
        <f t="shared" si="5"/>
        <v>0</v>
      </c>
      <c r="AG17" s="239">
        <f t="shared" si="5"/>
        <v>-137.1</v>
      </c>
      <c r="AH17" s="239">
        <f t="shared" si="5"/>
        <v>353.5</v>
      </c>
      <c r="AI17" s="239">
        <f t="shared" si="5"/>
        <v>-259.7</v>
      </c>
      <c r="AJ17" s="239">
        <f t="shared" si="5"/>
        <v>84</v>
      </c>
      <c r="AK17" s="239">
        <f t="shared" si="5"/>
        <v>-203.6</v>
      </c>
      <c r="AL17" s="239">
        <f t="shared" si="5"/>
        <v>101.1</v>
      </c>
      <c r="AM17" s="239">
        <f t="shared" si="5"/>
        <v>8.6419999999999995</v>
      </c>
      <c r="AN17" s="239">
        <f t="shared" si="5"/>
        <v>-52.39</v>
      </c>
      <c r="AO17" s="239">
        <f t="shared" si="5"/>
        <v>199</v>
      </c>
      <c r="AP17" s="239">
        <f t="shared" si="5"/>
        <v>65.28</v>
      </c>
      <c r="AQ17" s="239">
        <f t="shared" si="5"/>
        <v>-98.12</v>
      </c>
      <c r="AR17" s="246">
        <f t="shared" si="5"/>
        <v>-382.7</v>
      </c>
      <c r="AS17" s="238" t="str">
        <f t="shared" si="6"/>
        <v>OH</v>
      </c>
    </row>
    <row r="18" spans="1:45">
      <c r="A18" s="234">
        <v>9</v>
      </c>
      <c r="B18" s="242">
        <v>26.76</v>
      </c>
      <c r="C18" s="243">
        <v>42.92</v>
      </c>
      <c r="D18" s="243">
        <v>140.1</v>
      </c>
      <c r="E18" s="243">
        <v>365.8</v>
      </c>
      <c r="F18" s="243">
        <v>164.5</v>
      </c>
      <c r="G18" s="243">
        <v>108.7</v>
      </c>
      <c r="H18" s="243">
        <v>472.5</v>
      </c>
      <c r="I18" s="243">
        <v>-133.1</v>
      </c>
      <c r="J18" s="243">
        <v>0</v>
      </c>
      <c r="K18" s="243">
        <v>-37.36</v>
      </c>
      <c r="L18" s="243">
        <v>-213.7</v>
      </c>
      <c r="M18" s="243"/>
      <c r="N18" s="243">
        <v>6201</v>
      </c>
      <c r="O18" s="243">
        <v>669.4</v>
      </c>
      <c r="P18" s="243">
        <v>-130.30000000000001</v>
      </c>
      <c r="Q18" s="243">
        <v>-354.6</v>
      </c>
      <c r="R18" s="244"/>
      <c r="T18" s="221">
        <f>'UNIFAC (VLE)'!A31</f>
        <v>15</v>
      </c>
      <c r="U18" s="225">
        <f t="shared" si="0"/>
        <v>6</v>
      </c>
      <c r="V18" s="238" t="str">
        <f t="shared" si="1"/>
        <v>CH3OH</v>
      </c>
      <c r="W18" s="239">
        <f t="shared" si="2"/>
        <v>1.4311</v>
      </c>
      <c r="X18" s="239">
        <f t="shared" si="3"/>
        <v>1.4319999999999999</v>
      </c>
      <c r="Y18" s="245">
        <f t="shared" si="4"/>
        <v>16.510000000000002</v>
      </c>
      <c r="Z18" s="239">
        <f t="shared" si="5"/>
        <v>16.510000000000002</v>
      </c>
      <c r="AA18" s="239">
        <f t="shared" si="5"/>
        <v>16.510000000000002</v>
      </c>
      <c r="AB18" s="239">
        <f t="shared" si="5"/>
        <v>-50</v>
      </c>
      <c r="AC18" s="239">
        <f t="shared" si="5"/>
        <v>-50</v>
      </c>
      <c r="AD18" s="239">
        <f t="shared" si="5"/>
        <v>-44.5</v>
      </c>
      <c r="AE18" s="239">
        <f t="shared" si="5"/>
        <v>-44.5</v>
      </c>
      <c r="AF18" s="239">
        <f t="shared" si="5"/>
        <v>249.1</v>
      </c>
      <c r="AG18" s="239">
        <f t="shared" si="5"/>
        <v>0</v>
      </c>
      <c r="AH18" s="239">
        <f t="shared" si="5"/>
        <v>-181</v>
      </c>
      <c r="AI18" s="239">
        <f t="shared" si="5"/>
        <v>-101.7</v>
      </c>
      <c r="AJ18" s="239">
        <f t="shared" si="5"/>
        <v>23.39</v>
      </c>
      <c r="AK18" s="239">
        <f t="shared" si="5"/>
        <v>306.39999999999998</v>
      </c>
      <c r="AL18" s="239">
        <f t="shared" si="5"/>
        <v>-10.72</v>
      </c>
      <c r="AM18" s="239">
        <f t="shared" si="5"/>
        <v>359.3</v>
      </c>
      <c r="AN18" s="239">
        <f t="shared" si="5"/>
        <v>489.7</v>
      </c>
      <c r="AO18" s="239">
        <f t="shared" si="5"/>
        <v>-202</v>
      </c>
      <c r="AP18" s="239">
        <f t="shared" si="5"/>
        <v>-102.5</v>
      </c>
      <c r="AQ18" s="239">
        <f t="shared" si="5"/>
        <v>-139.4</v>
      </c>
      <c r="AR18" s="246">
        <f t="shared" si="5"/>
        <v>0</v>
      </c>
      <c r="AS18" s="238" t="str">
        <f t="shared" si="6"/>
        <v>CH3OH</v>
      </c>
    </row>
    <row r="19" spans="1:45">
      <c r="A19" s="234">
        <v>10</v>
      </c>
      <c r="B19" s="242">
        <v>505.7</v>
      </c>
      <c r="C19" s="243">
        <v>56.3</v>
      </c>
      <c r="D19" s="243">
        <v>23.39</v>
      </c>
      <c r="E19" s="243">
        <v>106</v>
      </c>
      <c r="F19" s="243">
        <v>529</v>
      </c>
      <c r="G19" s="243">
        <v>-340.2</v>
      </c>
      <c r="H19" s="243">
        <v>480.8</v>
      </c>
      <c r="I19" s="243">
        <v>-155.6</v>
      </c>
      <c r="J19" s="243">
        <v>128</v>
      </c>
      <c r="K19" s="243">
        <v>0</v>
      </c>
      <c r="L19" s="243">
        <v>-110.3</v>
      </c>
      <c r="M19" s="243"/>
      <c r="N19" s="243"/>
      <c r="O19" s="243">
        <v>497.5</v>
      </c>
      <c r="P19" s="243">
        <v>67.52</v>
      </c>
      <c r="Q19" s="243">
        <v>-483.7</v>
      </c>
      <c r="R19" s="244"/>
      <c r="T19" s="221">
        <f>'UNIFAC (VLE)'!A32</f>
        <v>16</v>
      </c>
      <c r="U19" s="225">
        <f t="shared" si="0"/>
        <v>7</v>
      </c>
      <c r="V19" s="238" t="str">
        <f t="shared" si="1"/>
        <v>H2O</v>
      </c>
      <c r="W19" s="239">
        <f t="shared" si="2"/>
        <v>0.92</v>
      </c>
      <c r="X19" s="239">
        <f t="shared" si="3"/>
        <v>1.4</v>
      </c>
      <c r="Y19" s="245">
        <f t="shared" si="4"/>
        <v>300</v>
      </c>
      <c r="Z19" s="239">
        <f t="shared" si="5"/>
        <v>300</v>
      </c>
      <c r="AA19" s="239">
        <f t="shared" si="5"/>
        <v>300</v>
      </c>
      <c r="AB19" s="239">
        <f t="shared" si="5"/>
        <v>362.3</v>
      </c>
      <c r="AC19" s="239">
        <f t="shared" si="5"/>
        <v>362.3</v>
      </c>
      <c r="AD19" s="239">
        <f t="shared" si="5"/>
        <v>377.6</v>
      </c>
      <c r="AE19" s="239">
        <f t="shared" si="5"/>
        <v>377.6</v>
      </c>
      <c r="AF19" s="239">
        <f t="shared" si="5"/>
        <v>-229.1</v>
      </c>
      <c r="AG19" s="239">
        <f t="shared" si="5"/>
        <v>289.60000000000002</v>
      </c>
      <c r="AH19" s="239">
        <f t="shared" si="5"/>
        <v>0</v>
      </c>
      <c r="AI19" s="239">
        <f t="shared" si="5"/>
        <v>324.5</v>
      </c>
      <c r="AJ19" s="239">
        <f t="shared" si="5"/>
        <v>-195.4</v>
      </c>
      <c r="AK19" s="239">
        <f t="shared" si="5"/>
        <v>-116</v>
      </c>
      <c r="AL19" s="239">
        <f t="shared" si="5"/>
        <v>72.87</v>
      </c>
      <c r="AM19" s="239">
        <f t="shared" si="5"/>
        <v>48.89</v>
      </c>
      <c r="AN19" s="239">
        <f t="shared" si="5"/>
        <v>243.2</v>
      </c>
      <c r="AO19" s="239">
        <f t="shared" si="5"/>
        <v>-14.09</v>
      </c>
      <c r="AP19" s="239">
        <f t="shared" si="5"/>
        <v>370.4</v>
      </c>
      <c r="AQ19" s="239">
        <f t="shared" si="5"/>
        <v>353.7</v>
      </c>
      <c r="AR19" s="246">
        <f t="shared" si="5"/>
        <v>835.6</v>
      </c>
      <c r="AS19" s="238" t="str">
        <f t="shared" si="6"/>
        <v>H2O</v>
      </c>
    </row>
    <row r="20" spans="1:45">
      <c r="A20" s="234">
        <v>11</v>
      </c>
      <c r="B20" s="242">
        <v>114.8</v>
      </c>
      <c r="C20" s="243">
        <v>132.1</v>
      </c>
      <c r="D20" s="243">
        <v>85.84</v>
      </c>
      <c r="E20" s="243">
        <v>-170</v>
      </c>
      <c r="F20" s="243">
        <v>245.4</v>
      </c>
      <c r="G20" s="243">
        <v>249.6</v>
      </c>
      <c r="H20" s="243">
        <v>200.8</v>
      </c>
      <c r="I20" s="243">
        <v>-36.72</v>
      </c>
      <c r="J20" s="243">
        <v>372.2</v>
      </c>
      <c r="K20" s="243">
        <v>185.1</v>
      </c>
      <c r="L20" s="243">
        <v>0</v>
      </c>
      <c r="M20" s="243"/>
      <c r="N20" s="243">
        <v>475.5</v>
      </c>
      <c r="O20" s="243">
        <v>660.2</v>
      </c>
      <c r="P20" s="243">
        <v>108.9</v>
      </c>
      <c r="Q20" s="243">
        <v>-209.7</v>
      </c>
      <c r="R20" s="244"/>
      <c r="T20" s="221">
        <f>'UNIFAC (VLE)'!A33</f>
        <v>17</v>
      </c>
      <c r="U20" s="225">
        <f t="shared" si="0"/>
        <v>8</v>
      </c>
      <c r="V20" s="238" t="str">
        <f t="shared" si="1"/>
        <v>ACOH</v>
      </c>
      <c r="W20" s="239">
        <f t="shared" si="2"/>
        <v>0.8952</v>
      </c>
      <c r="X20" s="239">
        <f t="shared" si="3"/>
        <v>0.68</v>
      </c>
      <c r="Y20" s="245">
        <f t="shared" si="4"/>
        <v>275.8</v>
      </c>
      <c r="Z20" s="239">
        <f t="shared" si="5"/>
        <v>275.8</v>
      </c>
      <c r="AA20" s="239">
        <f t="shared" si="5"/>
        <v>275.8</v>
      </c>
      <c r="AB20" s="239">
        <f t="shared" si="5"/>
        <v>25.34</v>
      </c>
      <c r="AC20" s="239">
        <f t="shared" si="5"/>
        <v>25.34</v>
      </c>
      <c r="AD20" s="239">
        <f t="shared" si="5"/>
        <v>244.2</v>
      </c>
      <c r="AE20" s="239">
        <f t="shared" si="5"/>
        <v>244.2</v>
      </c>
      <c r="AF20" s="239">
        <f t="shared" si="5"/>
        <v>-451.6</v>
      </c>
      <c r="AG20" s="239">
        <f t="shared" si="5"/>
        <v>-265.2</v>
      </c>
      <c r="AH20" s="239">
        <f t="shared" si="5"/>
        <v>-601.79999999999995</v>
      </c>
      <c r="AI20" s="239">
        <f t="shared" si="5"/>
        <v>0</v>
      </c>
      <c r="AJ20" s="239">
        <f t="shared" si="5"/>
        <v>-356.1</v>
      </c>
      <c r="AK20" s="239">
        <f t="shared" si="5"/>
        <v>-271.10000000000002</v>
      </c>
      <c r="AL20" s="239">
        <f t="shared" si="5"/>
        <v>-449.4</v>
      </c>
      <c r="AM20" s="239">
        <f t="shared" si="5"/>
        <v>0</v>
      </c>
      <c r="AN20" s="239">
        <f t="shared" si="5"/>
        <v>119.9</v>
      </c>
      <c r="AO20" s="239">
        <f t="shared" si="5"/>
        <v>408.9</v>
      </c>
      <c r="AP20" s="239">
        <f t="shared" si="5"/>
        <v>0</v>
      </c>
      <c r="AQ20" s="239">
        <f t="shared" si="5"/>
        <v>0</v>
      </c>
      <c r="AR20" s="246">
        <f t="shared" si="5"/>
        <v>0</v>
      </c>
      <c r="AS20" s="238" t="str">
        <f t="shared" si="6"/>
        <v>ACOH</v>
      </c>
    </row>
    <row r="21" spans="1:45">
      <c r="A21" s="234">
        <v>14</v>
      </c>
      <c r="B21" s="242">
        <v>-30.48</v>
      </c>
      <c r="C21" s="243">
        <v>1.163</v>
      </c>
      <c r="D21" s="243">
        <v>-44.85</v>
      </c>
      <c r="E21" s="243">
        <v>296.39999999999998</v>
      </c>
      <c r="F21" s="243">
        <v>-242.8</v>
      </c>
      <c r="G21" s="243">
        <v>-481.7</v>
      </c>
      <c r="H21" s="243">
        <v>-330.4</v>
      </c>
      <c r="I21" s="243"/>
      <c r="J21" s="243"/>
      <c r="K21" s="243"/>
      <c r="L21" s="243"/>
      <c r="M21" s="243">
        <v>0</v>
      </c>
      <c r="N21" s="243">
        <v>-200.7</v>
      </c>
      <c r="O21" s="243"/>
      <c r="P21" s="243"/>
      <c r="Q21" s="243"/>
      <c r="R21" s="244"/>
      <c r="T21" s="221">
        <f>'UNIFAC (VLE)'!A34</f>
        <v>18</v>
      </c>
      <c r="U21" s="225">
        <f t="shared" si="0"/>
        <v>9</v>
      </c>
      <c r="V21" s="238" t="str">
        <f t="shared" si="1"/>
        <v>CH3CO</v>
      </c>
      <c r="W21" s="239">
        <f t="shared" si="2"/>
        <v>1.6724000000000001</v>
      </c>
      <c r="X21" s="239">
        <f t="shared" si="3"/>
        <v>1.488</v>
      </c>
      <c r="Y21" s="245">
        <f t="shared" si="4"/>
        <v>26.76</v>
      </c>
      <c r="Z21" s="239">
        <f t="shared" si="5"/>
        <v>26.76</v>
      </c>
      <c r="AA21" s="239">
        <f t="shared" si="5"/>
        <v>26.76</v>
      </c>
      <c r="AB21" s="239">
        <f t="shared" si="5"/>
        <v>140.1</v>
      </c>
      <c r="AC21" s="239">
        <f t="shared" si="5"/>
        <v>140.1</v>
      </c>
      <c r="AD21" s="239">
        <f t="shared" si="5"/>
        <v>365.8</v>
      </c>
      <c r="AE21" s="239">
        <f t="shared" si="5"/>
        <v>365.8</v>
      </c>
      <c r="AF21" s="239">
        <f t="shared" si="5"/>
        <v>164.5</v>
      </c>
      <c r="AG21" s="239">
        <f t="shared" si="5"/>
        <v>108.7</v>
      </c>
      <c r="AH21" s="239">
        <f t="shared" si="5"/>
        <v>472.5</v>
      </c>
      <c r="AI21" s="239">
        <f t="shared" si="5"/>
        <v>-133.1</v>
      </c>
      <c r="AJ21" s="239">
        <f t="shared" si="5"/>
        <v>0</v>
      </c>
      <c r="AK21" s="239">
        <f t="shared" si="5"/>
        <v>-37.36</v>
      </c>
      <c r="AL21" s="239">
        <f t="shared" si="5"/>
        <v>-213.7</v>
      </c>
      <c r="AM21" s="239">
        <f t="shared" si="5"/>
        <v>0</v>
      </c>
      <c r="AN21" s="239">
        <f t="shared" si="5"/>
        <v>6201</v>
      </c>
      <c r="AO21" s="239">
        <f t="shared" si="5"/>
        <v>669.4</v>
      </c>
      <c r="AP21" s="239">
        <f t="shared" si="5"/>
        <v>-130.30000000000001</v>
      </c>
      <c r="AQ21" s="239">
        <f t="shared" si="5"/>
        <v>-354.6</v>
      </c>
      <c r="AR21" s="246">
        <f t="shared" si="5"/>
        <v>0</v>
      </c>
      <c r="AS21" s="238" t="str">
        <f t="shared" si="6"/>
        <v>CH3CO</v>
      </c>
    </row>
    <row r="22" spans="1:45">
      <c r="A22" s="234">
        <v>17</v>
      </c>
      <c r="B22" s="242">
        <v>1139</v>
      </c>
      <c r="C22" s="243">
        <v>2000</v>
      </c>
      <c r="D22" s="243">
        <v>247.5</v>
      </c>
      <c r="E22" s="243">
        <v>762.8</v>
      </c>
      <c r="F22" s="243">
        <v>-17.399999999999999</v>
      </c>
      <c r="G22" s="243">
        <v>-118.1</v>
      </c>
      <c r="H22" s="243">
        <v>-341.6</v>
      </c>
      <c r="I22" s="243">
        <v>-253.1</v>
      </c>
      <c r="J22" s="243">
        <v>-450.3</v>
      </c>
      <c r="K22" s="243"/>
      <c r="L22" s="243">
        <v>-294.8</v>
      </c>
      <c r="M22" s="243">
        <v>-15.07</v>
      </c>
      <c r="N22" s="243">
        <v>0</v>
      </c>
      <c r="O22" s="243">
        <v>-396</v>
      </c>
      <c r="P22" s="243">
        <v>-111</v>
      </c>
      <c r="Q22" s="243"/>
      <c r="R22" s="244"/>
      <c r="T22" s="221">
        <f>'UNIFAC (VLE)'!A35</f>
        <v>20</v>
      </c>
      <c r="U22" s="225">
        <f t="shared" si="0"/>
        <v>10</v>
      </c>
      <c r="V22" s="238" t="str">
        <f t="shared" si="1"/>
        <v>CHO</v>
      </c>
      <c r="W22" s="239">
        <f t="shared" si="2"/>
        <v>0.998</v>
      </c>
      <c r="X22" s="239">
        <f t="shared" si="3"/>
        <v>0.94799999999999995</v>
      </c>
      <c r="Y22" s="245">
        <f t="shared" si="4"/>
        <v>505.7</v>
      </c>
      <c r="Z22" s="239">
        <f t="shared" si="5"/>
        <v>505.7</v>
      </c>
      <c r="AA22" s="239">
        <f t="shared" si="5"/>
        <v>505.7</v>
      </c>
      <c r="AB22" s="239">
        <f t="shared" si="5"/>
        <v>23.39</v>
      </c>
      <c r="AC22" s="239">
        <f t="shared" si="5"/>
        <v>23.39</v>
      </c>
      <c r="AD22" s="239">
        <f t="shared" si="5"/>
        <v>106</v>
      </c>
      <c r="AE22" s="239">
        <f t="shared" si="5"/>
        <v>106</v>
      </c>
      <c r="AF22" s="239">
        <f t="shared" si="5"/>
        <v>529</v>
      </c>
      <c r="AG22" s="239">
        <f t="shared" si="5"/>
        <v>-340.2</v>
      </c>
      <c r="AH22" s="239">
        <f t="shared" si="5"/>
        <v>480.8</v>
      </c>
      <c r="AI22" s="239">
        <f t="shared" si="5"/>
        <v>-155.6</v>
      </c>
      <c r="AJ22" s="239">
        <f t="shared" si="5"/>
        <v>128</v>
      </c>
      <c r="AK22" s="239">
        <f t="shared" si="5"/>
        <v>0</v>
      </c>
      <c r="AL22" s="239">
        <f t="shared" si="5"/>
        <v>-110.3</v>
      </c>
      <c r="AM22" s="239">
        <f t="shared" si="5"/>
        <v>0</v>
      </c>
      <c r="AN22" s="239">
        <f t="shared" si="5"/>
        <v>0</v>
      </c>
      <c r="AO22" s="239">
        <f t="shared" si="5"/>
        <v>497.5</v>
      </c>
      <c r="AP22" s="239">
        <f t="shared" si="5"/>
        <v>67.52</v>
      </c>
      <c r="AQ22" s="239">
        <f t="shared" si="5"/>
        <v>-483.7</v>
      </c>
      <c r="AR22" s="246">
        <f t="shared" si="5"/>
        <v>0</v>
      </c>
      <c r="AS22" s="238" t="str">
        <f t="shared" si="6"/>
        <v>CHO</v>
      </c>
    </row>
    <row r="23" spans="1:45">
      <c r="A23" s="234">
        <v>20</v>
      </c>
      <c r="B23" s="242">
        <v>315.3</v>
      </c>
      <c r="C23" s="243">
        <v>1264</v>
      </c>
      <c r="D23" s="243">
        <v>62.32</v>
      </c>
      <c r="E23" s="243">
        <v>89.96</v>
      </c>
      <c r="F23" s="243">
        <v>-151</v>
      </c>
      <c r="G23" s="243">
        <v>339.8</v>
      </c>
      <c r="H23" s="243">
        <v>-66.17</v>
      </c>
      <c r="I23" s="243">
        <v>-11</v>
      </c>
      <c r="J23" s="243">
        <v>-297.8</v>
      </c>
      <c r="K23" s="243">
        <v>-165.5</v>
      </c>
      <c r="L23" s="243">
        <v>-256.3</v>
      </c>
      <c r="M23" s="243"/>
      <c r="N23" s="243">
        <v>493.8</v>
      </c>
      <c r="O23" s="243">
        <v>0</v>
      </c>
      <c r="P23" s="243">
        <v>-44.7</v>
      </c>
      <c r="Q23" s="243">
        <v>39.630000000000003</v>
      </c>
      <c r="R23" s="244">
        <v>-322.3</v>
      </c>
      <c r="T23" s="221">
        <f>'UNIFAC (VLE)'!A36</f>
        <v>21</v>
      </c>
      <c r="U23" s="225">
        <f t="shared" si="0"/>
        <v>11</v>
      </c>
      <c r="V23" s="238" t="str">
        <f t="shared" si="1"/>
        <v>CH3COO</v>
      </c>
      <c r="W23" s="239">
        <f t="shared" si="2"/>
        <v>1.9031</v>
      </c>
      <c r="X23" s="239">
        <f t="shared" si="3"/>
        <v>1.728</v>
      </c>
      <c r="Y23" s="245">
        <f t="shared" si="4"/>
        <v>114.8</v>
      </c>
      <c r="Z23" s="239">
        <f t="shared" si="5"/>
        <v>114.8</v>
      </c>
      <c r="AA23" s="239">
        <f t="shared" si="5"/>
        <v>114.8</v>
      </c>
      <c r="AB23" s="239">
        <f t="shared" si="5"/>
        <v>85.84</v>
      </c>
      <c r="AC23" s="239">
        <f t="shared" si="5"/>
        <v>85.84</v>
      </c>
      <c r="AD23" s="239">
        <f t="shared" si="5"/>
        <v>-170</v>
      </c>
      <c r="AE23" s="239">
        <f t="shared" si="5"/>
        <v>-170</v>
      </c>
      <c r="AF23" s="239">
        <f t="shared" si="5"/>
        <v>245.4</v>
      </c>
      <c r="AG23" s="239">
        <f t="shared" si="5"/>
        <v>249.6</v>
      </c>
      <c r="AH23" s="239">
        <f t="shared" ref="AH23:AR29" si="7">INDEX(MGaij,MATCH($U23,row,0),MATCH(AH$8,column,0))</f>
        <v>200.8</v>
      </c>
      <c r="AI23" s="239">
        <f t="shared" si="7"/>
        <v>-36.72</v>
      </c>
      <c r="AJ23" s="239">
        <f t="shared" si="7"/>
        <v>372.2</v>
      </c>
      <c r="AK23" s="239">
        <f t="shared" si="7"/>
        <v>185.1</v>
      </c>
      <c r="AL23" s="239">
        <f t="shared" si="7"/>
        <v>0</v>
      </c>
      <c r="AM23" s="239">
        <f t="shared" si="7"/>
        <v>0</v>
      </c>
      <c r="AN23" s="239">
        <f t="shared" si="7"/>
        <v>475.5</v>
      </c>
      <c r="AO23" s="239">
        <f t="shared" si="7"/>
        <v>660.2</v>
      </c>
      <c r="AP23" s="239">
        <f t="shared" si="7"/>
        <v>108.9</v>
      </c>
      <c r="AQ23" s="239">
        <f t="shared" si="7"/>
        <v>-209.7</v>
      </c>
      <c r="AR23" s="246">
        <f t="shared" si="7"/>
        <v>0</v>
      </c>
      <c r="AS23" s="238" t="str">
        <f t="shared" si="6"/>
        <v>CH3COO</v>
      </c>
    </row>
    <row r="24" spans="1:45">
      <c r="A24" s="234">
        <v>22</v>
      </c>
      <c r="B24" s="242">
        <v>34.1</v>
      </c>
      <c r="C24" s="243">
        <v>-23.5</v>
      </c>
      <c r="D24" s="243">
        <v>121.3</v>
      </c>
      <c r="E24" s="243">
        <v>140.80000000000001</v>
      </c>
      <c r="F24" s="243">
        <v>527.6</v>
      </c>
      <c r="G24" s="243">
        <v>669.9</v>
      </c>
      <c r="H24" s="243">
        <v>708.7</v>
      </c>
      <c r="I24" s="243"/>
      <c r="J24" s="243">
        <v>82.86</v>
      </c>
      <c r="K24" s="243">
        <v>190.6</v>
      </c>
      <c r="L24" s="243">
        <v>-133</v>
      </c>
      <c r="M24" s="243"/>
      <c r="N24" s="243">
        <v>140.80000000000001</v>
      </c>
      <c r="O24" s="243">
        <v>543.29999999999995</v>
      </c>
      <c r="P24" s="243">
        <v>0</v>
      </c>
      <c r="Q24" s="243">
        <v>0</v>
      </c>
      <c r="R24" s="244"/>
      <c r="T24" s="221">
        <f>'UNIFAC (VLE)'!A37</f>
        <v>29</v>
      </c>
      <c r="U24" s="225">
        <f t="shared" si="0"/>
        <v>14</v>
      </c>
      <c r="V24" s="238" t="str">
        <f t="shared" si="1"/>
        <v>CH2NH2</v>
      </c>
      <c r="W24" s="239">
        <f t="shared" si="2"/>
        <v>1.3692</v>
      </c>
      <c r="X24" s="239">
        <f t="shared" si="3"/>
        <v>1.236</v>
      </c>
      <c r="Y24" s="245">
        <f t="shared" si="4"/>
        <v>-30.48</v>
      </c>
      <c r="Z24" s="239">
        <f t="shared" ref="Z24:AG29" si="8">INDEX(MGaij,MATCH($U24,row,0),MATCH(Z$8,column,0))</f>
        <v>-30.48</v>
      </c>
      <c r="AA24" s="239">
        <f t="shared" si="8"/>
        <v>-30.48</v>
      </c>
      <c r="AB24" s="239">
        <f t="shared" si="8"/>
        <v>-44.85</v>
      </c>
      <c r="AC24" s="239">
        <f t="shared" si="8"/>
        <v>-44.85</v>
      </c>
      <c r="AD24" s="239">
        <f t="shared" si="8"/>
        <v>296.39999999999998</v>
      </c>
      <c r="AE24" s="239">
        <f t="shared" si="8"/>
        <v>296.39999999999998</v>
      </c>
      <c r="AF24" s="239">
        <f t="shared" si="8"/>
        <v>-242.8</v>
      </c>
      <c r="AG24" s="239">
        <f t="shared" si="8"/>
        <v>-481.7</v>
      </c>
      <c r="AH24" s="239">
        <f t="shared" si="7"/>
        <v>-330.4</v>
      </c>
      <c r="AI24" s="239">
        <f t="shared" si="7"/>
        <v>0</v>
      </c>
      <c r="AJ24" s="239">
        <f t="shared" si="7"/>
        <v>0</v>
      </c>
      <c r="AK24" s="239">
        <f t="shared" si="7"/>
        <v>0</v>
      </c>
      <c r="AL24" s="239">
        <f t="shared" si="7"/>
        <v>0</v>
      </c>
      <c r="AM24" s="239">
        <f t="shared" si="7"/>
        <v>0</v>
      </c>
      <c r="AN24" s="239">
        <f t="shared" si="7"/>
        <v>-200.7</v>
      </c>
      <c r="AO24" s="239">
        <f t="shared" si="7"/>
        <v>0</v>
      </c>
      <c r="AP24" s="239">
        <f t="shared" si="7"/>
        <v>0</v>
      </c>
      <c r="AQ24" s="239">
        <f t="shared" si="7"/>
        <v>0</v>
      </c>
      <c r="AR24" s="246">
        <f t="shared" si="7"/>
        <v>0</v>
      </c>
      <c r="AS24" s="238" t="str">
        <f t="shared" si="6"/>
        <v>CH2NH2</v>
      </c>
    </row>
    <row r="25" spans="1:45">
      <c r="A25" s="234">
        <v>23</v>
      </c>
      <c r="B25" s="242">
        <v>36.700000000000003</v>
      </c>
      <c r="C25" s="243">
        <v>51.06</v>
      </c>
      <c r="D25" s="243">
        <v>228.5</v>
      </c>
      <c r="E25" s="243">
        <v>69.900000000000006</v>
      </c>
      <c r="F25" s="243">
        <v>742.1</v>
      </c>
      <c r="G25" s="243">
        <v>649.1</v>
      </c>
      <c r="H25" s="243">
        <v>826.8</v>
      </c>
      <c r="I25" s="243"/>
      <c r="J25" s="243">
        <v>552.1</v>
      </c>
      <c r="K25" s="243">
        <v>242.8</v>
      </c>
      <c r="L25" s="243">
        <v>176.5</v>
      </c>
      <c r="M25" s="243"/>
      <c r="N25" s="243"/>
      <c r="O25" s="243">
        <v>504.2</v>
      </c>
      <c r="P25" s="243">
        <v>-84.53</v>
      </c>
      <c r="Q25" s="243">
        <v>0</v>
      </c>
      <c r="R25" s="244"/>
      <c r="T25" s="221">
        <f>'UNIFAC (VLE)'!A38</f>
        <v>36</v>
      </c>
      <c r="U25" s="225">
        <f t="shared" si="0"/>
        <v>17</v>
      </c>
      <c r="V25" s="238" t="str">
        <f t="shared" si="1"/>
        <v>ACNH2</v>
      </c>
      <c r="W25" s="239">
        <f t="shared" si="2"/>
        <v>1.06</v>
      </c>
      <c r="X25" s="239">
        <f t="shared" si="3"/>
        <v>0.81599999999999995</v>
      </c>
      <c r="Y25" s="245">
        <f t="shared" si="4"/>
        <v>1139</v>
      </c>
      <c r="Z25" s="239">
        <f t="shared" si="8"/>
        <v>1139</v>
      </c>
      <c r="AA25" s="239">
        <f t="shared" si="8"/>
        <v>1139</v>
      </c>
      <c r="AB25" s="239">
        <f t="shared" si="8"/>
        <v>247.5</v>
      </c>
      <c r="AC25" s="239">
        <f t="shared" si="8"/>
        <v>247.5</v>
      </c>
      <c r="AD25" s="239">
        <f t="shared" si="8"/>
        <v>762.8</v>
      </c>
      <c r="AE25" s="239">
        <f t="shared" si="8"/>
        <v>762.8</v>
      </c>
      <c r="AF25" s="239">
        <f t="shared" si="8"/>
        <v>-17.399999999999999</v>
      </c>
      <c r="AG25" s="239">
        <f t="shared" si="8"/>
        <v>-118.1</v>
      </c>
      <c r="AH25" s="239">
        <f t="shared" si="7"/>
        <v>-341.6</v>
      </c>
      <c r="AI25" s="239">
        <f t="shared" si="7"/>
        <v>-253.1</v>
      </c>
      <c r="AJ25" s="239">
        <f t="shared" si="7"/>
        <v>-450.3</v>
      </c>
      <c r="AK25" s="239">
        <f t="shared" si="7"/>
        <v>0</v>
      </c>
      <c r="AL25" s="239">
        <f t="shared" si="7"/>
        <v>-294.8</v>
      </c>
      <c r="AM25" s="239">
        <f t="shared" si="7"/>
        <v>-15.07</v>
      </c>
      <c r="AN25" s="239">
        <f t="shared" si="7"/>
        <v>0</v>
      </c>
      <c r="AO25" s="239">
        <f t="shared" si="7"/>
        <v>-396</v>
      </c>
      <c r="AP25" s="239">
        <f t="shared" si="7"/>
        <v>-111</v>
      </c>
      <c r="AQ25" s="239">
        <f t="shared" si="7"/>
        <v>0</v>
      </c>
      <c r="AR25" s="246">
        <f t="shared" si="7"/>
        <v>0</v>
      </c>
      <c r="AS25" s="238" t="str">
        <f t="shared" si="6"/>
        <v>ACNH2</v>
      </c>
    </row>
    <row r="26" spans="1:45">
      <c r="A26" s="234">
        <v>46</v>
      </c>
      <c r="B26" s="247">
        <v>27.97</v>
      </c>
      <c r="C26" s="248">
        <v>9.7550000000000008</v>
      </c>
      <c r="D26" s="248"/>
      <c r="E26" s="248"/>
      <c r="F26" s="248">
        <v>394.8</v>
      </c>
      <c r="G26" s="248"/>
      <c r="H26" s="248">
        <v>-509.3</v>
      </c>
      <c r="I26" s="248"/>
      <c r="J26" s="248"/>
      <c r="K26" s="248"/>
      <c r="L26" s="248"/>
      <c r="M26" s="248"/>
      <c r="N26" s="248"/>
      <c r="O26" s="248">
        <v>-70.25</v>
      </c>
      <c r="P26" s="248"/>
      <c r="Q26" s="248"/>
      <c r="R26" s="249">
        <v>0</v>
      </c>
      <c r="T26" s="221">
        <f>'UNIFAC (VLE)'!A39</f>
        <v>42</v>
      </c>
      <c r="U26" s="225">
        <f t="shared" si="0"/>
        <v>20</v>
      </c>
      <c r="V26" s="238" t="str">
        <f t="shared" si="1"/>
        <v>COOH</v>
      </c>
      <c r="W26" s="239">
        <f t="shared" si="2"/>
        <v>1.3012999999999999</v>
      </c>
      <c r="X26" s="239">
        <f t="shared" si="3"/>
        <v>1.224</v>
      </c>
      <c r="Y26" s="245">
        <f t="shared" si="4"/>
        <v>315.3</v>
      </c>
      <c r="Z26" s="239">
        <f t="shared" si="8"/>
        <v>315.3</v>
      </c>
      <c r="AA26" s="239">
        <f t="shared" si="8"/>
        <v>315.3</v>
      </c>
      <c r="AB26" s="239">
        <f t="shared" si="8"/>
        <v>62.32</v>
      </c>
      <c r="AC26" s="239">
        <f t="shared" si="8"/>
        <v>62.32</v>
      </c>
      <c r="AD26" s="239">
        <f t="shared" si="8"/>
        <v>89.96</v>
      </c>
      <c r="AE26" s="239">
        <f t="shared" si="8"/>
        <v>89.96</v>
      </c>
      <c r="AF26" s="239">
        <f t="shared" si="8"/>
        <v>-151</v>
      </c>
      <c r="AG26" s="239">
        <f t="shared" si="8"/>
        <v>339.8</v>
      </c>
      <c r="AH26" s="239">
        <f t="shared" si="7"/>
        <v>-66.17</v>
      </c>
      <c r="AI26" s="239">
        <f t="shared" si="7"/>
        <v>-11</v>
      </c>
      <c r="AJ26" s="239">
        <f t="shared" si="7"/>
        <v>-297.8</v>
      </c>
      <c r="AK26" s="239">
        <f t="shared" si="7"/>
        <v>-165.5</v>
      </c>
      <c r="AL26" s="239">
        <f t="shared" si="7"/>
        <v>-256.3</v>
      </c>
      <c r="AM26" s="239">
        <f t="shared" si="7"/>
        <v>0</v>
      </c>
      <c r="AN26" s="239">
        <f t="shared" si="7"/>
        <v>493.8</v>
      </c>
      <c r="AO26" s="239">
        <f t="shared" si="7"/>
        <v>0</v>
      </c>
      <c r="AP26" s="239">
        <f t="shared" si="7"/>
        <v>-44.7</v>
      </c>
      <c r="AQ26" s="239">
        <f t="shared" si="7"/>
        <v>39.630000000000003</v>
      </c>
      <c r="AR26" s="246">
        <f t="shared" si="7"/>
        <v>-322.3</v>
      </c>
      <c r="AS26" s="238" t="str">
        <f t="shared" si="6"/>
        <v>COOH</v>
      </c>
    </row>
    <row r="27" spans="1:45">
      <c r="T27" s="221">
        <f>'UNIFAC (VLE)'!A40</f>
        <v>49</v>
      </c>
      <c r="U27" s="225">
        <f t="shared" si="0"/>
        <v>22</v>
      </c>
      <c r="V27" s="238" t="str">
        <f t="shared" si="1"/>
        <v>CCL2</v>
      </c>
      <c r="W27" s="239">
        <f t="shared" si="2"/>
        <v>1.8016000000000001</v>
      </c>
      <c r="X27" s="239">
        <f t="shared" si="3"/>
        <v>1.448</v>
      </c>
      <c r="Y27" s="245">
        <f t="shared" si="4"/>
        <v>34.1</v>
      </c>
      <c r="Z27" s="239">
        <f t="shared" si="8"/>
        <v>34.1</v>
      </c>
      <c r="AA27" s="239">
        <f t="shared" si="8"/>
        <v>34.1</v>
      </c>
      <c r="AB27" s="239">
        <f t="shared" si="8"/>
        <v>121.3</v>
      </c>
      <c r="AC27" s="239">
        <f t="shared" si="8"/>
        <v>121.3</v>
      </c>
      <c r="AD27" s="239">
        <f t="shared" si="8"/>
        <v>140.80000000000001</v>
      </c>
      <c r="AE27" s="239">
        <f t="shared" si="8"/>
        <v>140.80000000000001</v>
      </c>
      <c r="AF27" s="239">
        <f t="shared" si="8"/>
        <v>527.6</v>
      </c>
      <c r="AG27" s="239">
        <f t="shared" si="8"/>
        <v>669.9</v>
      </c>
      <c r="AH27" s="239">
        <f t="shared" si="7"/>
        <v>708.7</v>
      </c>
      <c r="AI27" s="239">
        <f t="shared" si="7"/>
        <v>0</v>
      </c>
      <c r="AJ27" s="239">
        <f t="shared" si="7"/>
        <v>82.86</v>
      </c>
      <c r="AK27" s="239">
        <f t="shared" si="7"/>
        <v>190.6</v>
      </c>
      <c r="AL27" s="239">
        <f t="shared" si="7"/>
        <v>-133</v>
      </c>
      <c r="AM27" s="239">
        <f t="shared" si="7"/>
        <v>0</v>
      </c>
      <c r="AN27" s="239">
        <f t="shared" si="7"/>
        <v>140.80000000000001</v>
      </c>
      <c r="AO27" s="239">
        <f t="shared" si="7"/>
        <v>543.29999999999995</v>
      </c>
      <c r="AP27" s="239">
        <f t="shared" si="7"/>
        <v>0</v>
      </c>
      <c r="AQ27" s="239">
        <f t="shared" si="7"/>
        <v>0</v>
      </c>
      <c r="AR27" s="246">
        <f t="shared" si="7"/>
        <v>0</v>
      </c>
      <c r="AS27" s="238" t="str">
        <f t="shared" si="6"/>
        <v>CCL2</v>
      </c>
    </row>
    <row r="28" spans="1:45">
      <c r="T28" s="221">
        <f>'UNIFAC (VLE)'!A41</f>
        <v>51</v>
      </c>
      <c r="U28" s="225">
        <f t="shared" si="0"/>
        <v>23</v>
      </c>
      <c r="V28" s="238" t="str">
        <f t="shared" si="1"/>
        <v>CCL3</v>
      </c>
      <c r="W28" s="239">
        <f t="shared" si="2"/>
        <v>2.6400999999999999</v>
      </c>
      <c r="X28" s="239">
        <f t="shared" si="3"/>
        <v>2.1840000000000002</v>
      </c>
      <c r="Y28" s="245">
        <f t="shared" si="4"/>
        <v>36.700000000000003</v>
      </c>
      <c r="Z28" s="239">
        <f t="shared" si="8"/>
        <v>36.700000000000003</v>
      </c>
      <c r="AA28" s="239">
        <f t="shared" si="8"/>
        <v>36.700000000000003</v>
      </c>
      <c r="AB28" s="239">
        <f t="shared" si="8"/>
        <v>228.5</v>
      </c>
      <c r="AC28" s="239">
        <f t="shared" si="8"/>
        <v>228.5</v>
      </c>
      <c r="AD28" s="239">
        <f t="shared" si="8"/>
        <v>69.900000000000006</v>
      </c>
      <c r="AE28" s="239">
        <f t="shared" si="8"/>
        <v>69.900000000000006</v>
      </c>
      <c r="AF28" s="239">
        <f t="shared" si="8"/>
        <v>742.1</v>
      </c>
      <c r="AG28" s="239">
        <f t="shared" si="8"/>
        <v>649.1</v>
      </c>
      <c r="AH28" s="239">
        <f t="shared" si="7"/>
        <v>826.8</v>
      </c>
      <c r="AI28" s="239">
        <f t="shared" si="7"/>
        <v>0</v>
      </c>
      <c r="AJ28" s="239">
        <f t="shared" si="7"/>
        <v>552.1</v>
      </c>
      <c r="AK28" s="239">
        <f t="shared" si="7"/>
        <v>242.8</v>
      </c>
      <c r="AL28" s="239">
        <f t="shared" si="7"/>
        <v>176.5</v>
      </c>
      <c r="AM28" s="239">
        <f t="shared" si="7"/>
        <v>0</v>
      </c>
      <c r="AN28" s="239">
        <f t="shared" si="7"/>
        <v>0</v>
      </c>
      <c r="AO28" s="239">
        <f t="shared" si="7"/>
        <v>504.2</v>
      </c>
      <c r="AP28" s="239">
        <f t="shared" si="7"/>
        <v>-84.53</v>
      </c>
      <c r="AQ28" s="239">
        <f t="shared" si="7"/>
        <v>0</v>
      </c>
      <c r="AR28" s="246">
        <f t="shared" si="7"/>
        <v>0</v>
      </c>
      <c r="AS28" s="238" t="str">
        <f t="shared" si="6"/>
        <v>CCL3</v>
      </c>
    </row>
    <row r="29" spans="1:45">
      <c r="A29" s="223" t="s">
        <v>275</v>
      </c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T29" s="221">
        <f>'UNIFAC (VLE)'!A42</f>
        <v>99</v>
      </c>
      <c r="U29" s="225">
        <f t="shared" si="0"/>
        <v>46</v>
      </c>
      <c r="V29" s="238" t="str">
        <f t="shared" si="1"/>
        <v>CON(CH2)2</v>
      </c>
      <c r="W29" s="251">
        <f t="shared" si="2"/>
        <v>2.4054000000000002</v>
      </c>
      <c r="X29" s="252">
        <f t="shared" si="3"/>
        <v>1.8120000000000001</v>
      </c>
      <c r="Y29" s="251">
        <f t="shared" si="4"/>
        <v>27.97</v>
      </c>
      <c r="Z29" s="253">
        <f t="shared" si="8"/>
        <v>27.97</v>
      </c>
      <c r="AA29" s="253">
        <f t="shared" si="8"/>
        <v>27.97</v>
      </c>
      <c r="AB29" s="253">
        <f t="shared" si="8"/>
        <v>0</v>
      </c>
      <c r="AC29" s="253">
        <f t="shared" si="8"/>
        <v>0</v>
      </c>
      <c r="AD29" s="253">
        <f t="shared" si="8"/>
        <v>0</v>
      </c>
      <c r="AE29" s="253">
        <f t="shared" si="8"/>
        <v>0</v>
      </c>
      <c r="AF29" s="253">
        <f t="shared" si="8"/>
        <v>394.8</v>
      </c>
      <c r="AG29" s="253">
        <f t="shared" si="8"/>
        <v>0</v>
      </c>
      <c r="AH29" s="253">
        <f t="shared" si="7"/>
        <v>-509.3</v>
      </c>
      <c r="AI29" s="253">
        <f t="shared" si="7"/>
        <v>0</v>
      </c>
      <c r="AJ29" s="253">
        <f t="shared" si="7"/>
        <v>0</v>
      </c>
      <c r="AK29" s="253">
        <f t="shared" si="7"/>
        <v>0</v>
      </c>
      <c r="AL29" s="253">
        <f t="shared" si="7"/>
        <v>0</v>
      </c>
      <c r="AM29" s="253">
        <f t="shared" si="7"/>
        <v>0</v>
      </c>
      <c r="AN29" s="253">
        <f t="shared" si="7"/>
        <v>0</v>
      </c>
      <c r="AO29" s="253">
        <f t="shared" si="7"/>
        <v>-70.25</v>
      </c>
      <c r="AP29" s="253">
        <f t="shared" si="7"/>
        <v>0</v>
      </c>
      <c r="AQ29" s="253">
        <f t="shared" si="7"/>
        <v>0</v>
      </c>
      <c r="AR29" s="252">
        <f t="shared" si="7"/>
        <v>0</v>
      </c>
      <c r="AS29" s="238" t="str">
        <f t="shared" si="6"/>
        <v>CON(CH2)2</v>
      </c>
    </row>
    <row r="30" spans="1:45">
      <c r="A30" s="222" t="s">
        <v>276</v>
      </c>
    </row>
    <row r="31" spans="1:45">
      <c r="A31" s="222" t="s">
        <v>277</v>
      </c>
    </row>
    <row r="32" spans="1:45">
      <c r="A32" s="222" t="s">
        <v>278</v>
      </c>
      <c r="T32" s="222"/>
      <c r="V32" s="221" t="s">
        <v>298</v>
      </c>
    </row>
    <row r="33" spans="1:64">
      <c r="A33" s="254"/>
      <c r="C33" s="250"/>
      <c r="D33" s="250"/>
      <c r="E33" s="250"/>
      <c r="T33" s="222"/>
      <c r="V33" s="221" t="s">
        <v>270</v>
      </c>
    </row>
    <row r="34" spans="1:64">
      <c r="A34" s="222" t="s">
        <v>265</v>
      </c>
      <c r="B34" s="222" t="s">
        <v>279</v>
      </c>
      <c r="D34" s="222" t="s">
        <v>160</v>
      </c>
      <c r="E34" s="222" t="s">
        <v>135</v>
      </c>
      <c r="U34" s="225"/>
      <c r="V34" s="256" t="s">
        <v>280</v>
      </c>
      <c r="AQ34" s="222"/>
      <c r="AR34" s="222"/>
      <c r="AS34" s="255"/>
      <c r="AT34" s="255"/>
      <c r="BK34" s="222"/>
      <c r="BL34" s="222"/>
    </row>
    <row r="35" spans="1:64" s="250" customFormat="1">
      <c r="A35" s="257">
        <v>1</v>
      </c>
      <c r="B35" s="257">
        <v>1</v>
      </c>
      <c r="C35" s="257" t="s">
        <v>161</v>
      </c>
      <c r="D35" s="257">
        <v>0.90110000000000001</v>
      </c>
      <c r="E35" s="257">
        <v>0.84799999999999998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T35" s="233"/>
      <c r="U35" s="225"/>
      <c r="V35" s="221"/>
      <c r="W35" s="221" t="str">
        <f t="shared" ref="W35:AP35" si="9">Y9</f>
        <v>CH3</v>
      </c>
      <c r="X35" s="221" t="str">
        <f t="shared" si="9"/>
        <v>CH2</v>
      </c>
      <c r="Y35" s="221" t="str">
        <f t="shared" si="9"/>
        <v>CH</v>
      </c>
      <c r="Z35" s="221" t="str">
        <f t="shared" si="9"/>
        <v>ACH</v>
      </c>
      <c r="AA35" s="221" t="str">
        <f t="shared" si="9"/>
        <v>AC</v>
      </c>
      <c r="AB35" s="221" t="str">
        <f t="shared" si="9"/>
        <v>ACCH3</v>
      </c>
      <c r="AC35" s="221" t="str">
        <f t="shared" si="9"/>
        <v>ACCH2</v>
      </c>
      <c r="AD35" s="221" t="str">
        <f t="shared" si="9"/>
        <v>OH</v>
      </c>
      <c r="AE35" s="221" t="str">
        <f t="shared" si="9"/>
        <v>CH3OH</v>
      </c>
      <c r="AF35" s="221" t="str">
        <f t="shared" si="9"/>
        <v>H2O</v>
      </c>
      <c r="AG35" s="221" t="str">
        <f t="shared" si="9"/>
        <v>ACOH</v>
      </c>
      <c r="AH35" s="221" t="str">
        <f t="shared" si="9"/>
        <v>CH3CO</v>
      </c>
      <c r="AI35" s="221" t="str">
        <f t="shared" si="9"/>
        <v>CHO</v>
      </c>
      <c r="AJ35" s="221" t="str">
        <f t="shared" si="9"/>
        <v>CH3COO</v>
      </c>
      <c r="AK35" s="221" t="str">
        <f t="shared" si="9"/>
        <v>CH2NH2</v>
      </c>
      <c r="AL35" s="221" t="str">
        <f t="shared" si="9"/>
        <v>ACNH2</v>
      </c>
      <c r="AM35" s="221" t="str">
        <f t="shared" si="9"/>
        <v>COOH</v>
      </c>
      <c r="AN35" s="221" t="str">
        <f t="shared" si="9"/>
        <v>CCL2</v>
      </c>
      <c r="AO35" s="221" t="str">
        <f t="shared" si="9"/>
        <v>CCL3</v>
      </c>
      <c r="AP35" s="221" t="str">
        <f t="shared" si="9"/>
        <v>CON(CH2)2</v>
      </c>
    </row>
    <row r="36" spans="1:64">
      <c r="A36" s="258">
        <v>2</v>
      </c>
      <c r="B36" s="258">
        <v>1</v>
      </c>
      <c r="C36" s="257" t="s">
        <v>162</v>
      </c>
      <c r="D36" s="257">
        <v>0.6744</v>
      </c>
      <c r="E36" s="257">
        <v>0.54</v>
      </c>
      <c r="U36" s="225"/>
      <c r="V36" s="221" t="str">
        <f t="shared" ref="V36:V55" si="10">V10</f>
        <v>CH3</v>
      </c>
      <c r="W36" s="259">
        <f t="shared" ref="W36:W55" si="11">EXP(-Y10/($U$6+273.15))</f>
        <v>1</v>
      </c>
      <c r="X36" s="259">
        <f t="shared" ref="X36:X55" si="12">EXP(-Z10/($U$6+273.15))</f>
        <v>1</v>
      </c>
      <c r="Y36" s="259">
        <f t="shared" ref="Y36:Y55" si="13">EXP(-AA10/($U$6+273.15))</f>
        <v>1</v>
      </c>
      <c r="Z36" s="259">
        <f t="shared" ref="Z36:Z55" si="14">EXP(-AB10/($U$6+273.15))</f>
        <v>0.82111001416921814</v>
      </c>
      <c r="AA36" s="259">
        <f t="shared" ref="AA36:AA55" si="15">EXP(-AC10/($U$6+273.15))</f>
        <v>0.82111001416921814</v>
      </c>
      <c r="AB36" s="259">
        <f t="shared" ref="AB36:AB55" si="16">EXP(-AD10/($U$6+273.15))</f>
        <v>0.78141035512753687</v>
      </c>
      <c r="AC36" s="259">
        <f t="shared" ref="AC36:AC55" si="17">EXP(-AE10/($U$6+273.15))</f>
        <v>0.78141035512753687</v>
      </c>
      <c r="AD36" s="259">
        <f t="shared" ref="AD36:AD55" si="18">EXP(-AF10/($U$6+273.15))</f>
        <v>4.1555765493576279E-2</v>
      </c>
      <c r="AE36" s="259">
        <f t="shared" ref="AE36:AE55" si="19">EXP(-AG10/($U$6+273.15))</f>
        <v>0.10561609094308702</v>
      </c>
      <c r="AF36" s="259">
        <f t="shared" ref="AF36:AF55" si="20">EXP(-AH10/($U$6+273.15))</f>
        <v>1.4270559129019351E-2</v>
      </c>
      <c r="AG36" s="259">
        <f t="shared" ref="AG36:AG55" si="21">EXP(-AI10/($U$6+273.15))</f>
        <v>1.3596806076794603E-2</v>
      </c>
      <c r="AH36" s="259">
        <f t="shared" ref="AH36:AH55" si="22">EXP(-AJ10/($U$6+273.15))</f>
        <v>0.21523368098990883</v>
      </c>
      <c r="AI36" s="259">
        <f t="shared" ref="AI36:AI55" si="23">EXP(-AK10/($U$6+273.15))</f>
        <v>0.11272379245419735</v>
      </c>
      <c r="AJ36" s="259">
        <f t="shared" ref="AJ36:AJ55" si="24">EXP(-AL10/($U$6+273.15))</f>
        <v>0.47314774888694827</v>
      </c>
      <c r="AK36" s="259">
        <f t="shared" ref="AK36:AK55" si="25">EXP(-AM10/($U$6+273.15))</f>
        <v>0.28300451167758622</v>
      </c>
      <c r="AL36" s="259">
        <f t="shared" ref="AL36:AL55" si="26">EXP(-AN10/($U$6+273.15))</f>
        <v>5.137705544733024E-2</v>
      </c>
      <c r="AM36" s="259">
        <f t="shared" ref="AM36:AM55" si="27">EXP(-AO10/($U$6+273.15))</f>
        <v>0.11773870884922133</v>
      </c>
      <c r="AN36" s="259">
        <f t="shared" ref="AN36:AN55" si="28">EXP(-AP10/($U$6+273.15))</f>
        <v>0.84085547494562074</v>
      </c>
      <c r="AO36" s="259">
        <f t="shared" ref="AO36:AO55" si="29">EXP(-AQ10/($U$6+273.15))</f>
        <v>0.9228544643452774</v>
      </c>
      <c r="AP36" s="259">
        <f t="shared" ref="AP36:AP55" si="30">EXP(-AR10/($U$6+273.15))</f>
        <v>0.29284394346416548</v>
      </c>
      <c r="AQ36" s="222"/>
      <c r="AR36" s="222"/>
      <c r="AS36" s="255"/>
      <c r="AT36" s="255"/>
      <c r="BK36" s="222"/>
      <c r="BL36" s="222"/>
    </row>
    <row r="37" spans="1:64">
      <c r="A37" s="257">
        <v>3</v>
      </c>
      <c r="B37" s="257">
        <v>1</v>
      </c>
      <c r="C37" s="257" t="s">
        <v>163</v>
      </c>
      <c r="D37" s="257">
        <v>0.44690000000000002</v>
      </c>
      <c r="E37" s="257">
        <v>0.22800000000000001</v>
      </c>
      <c r="U37" s="225"/>
      <c r="V37" s="221" t="str">
        <f t="shared" si="10"/>
        <v>CH2</v>
      </c>
      <c r="W37" s="259">
        <f t="shared" si="11"/>
        <v>1</v>
      </c>
      <c r="X37" s="259">
        <f t="shared" si="12"/>
        <v>1</v>
      </c>
      <c r="Y37" s="259">
        <f t="shared" si="13"/>
        <v>1</v>
      </c>
      <c r="Z37" s="259">
        <f t="shared" si="14"/>
        <v>0.82111001416921814</v>
      </c>
      <c r="AA37" s="259">
        <f t="shared" si="15"/>
        <v>0.82111001416921814</v>
      </c>
      <c r="AB37" s="259">
        <f t="shared" si="16"/>
        <v>0.78141035512753687</v>
      </c>
      <c r="AC37" s="259">
        <f t="shared" si="17"/>
        <v>0.78141035512753687</v>
      </c>
      <c r="AD37" s="259">
        <f t="shared" si="18"/>
        <v>4.1555765493576279E-2</v>
      </c>
      <c r="AE37" s="259">
        <f t="shared" si="19"/>
        <v>0.10561609094308702</v>
      </c>
      <c r="AF37" s="259">
        <f t="shared" si="20"/>
        <v>1.4270559129019351E-2</v>
      </c>
      <c r="AG37" s="259">
        <f t="shared" si="21"/>
        <v>1.3596806076794603E-2</v>
      </c>
      <c r="AH37" s="259">
        <f t="shared" si="22"/>
        <v>0.21523368098990883</v>
      </c>
      <c r="AI37" s="259">
        <f t="shared" si="23"/>
        <v>0.11272379245419735</v>
      </c>
      <c r="AJ37" s="259">
        <f t="shared" si="24"/>
        <v>0.47314774888694827</v>
      </c>
      <c r="AK37" s="259">
        <f t="shared" si="25"/>
        <v>0.28300451167758622</v>
      </c>
      <c r="AL37" s="259">
        <f t="shared" si="26"/>
        <v>5.137705544733024E-2</v>
      </c>
      <c r="AM37" s="259">
        <f t="shared" si="27"/>
        <v>0.11773870884922133</v>
      </c>
      <c r="AN37" s="259">
        <f t="shared" si="28"/>
        <v>0.84085547494562074</v>
      </c>
      <c r="AO37" s="259">
        <f t="shared" si="29"/>
        <v>0.9228544643452774</v>
      </c>
      <c r="AP37" s="259">
        <f t="shared" si="30"/>
        <v>0.29284394346416548</v>
      </c>
      <c r="AQ37" s="222"/>
      <c r="AR37" s="222"/>
      <c r="AS37" s="255"/>
      <c r="AT37" s="255"/>
      <c r="BK37" s="222"/>
      <c r="BL37" s="222"/>
    </row>
    <row r="38" spans="1:64">
      <c r="A38" s="257">
        <v>4</v>
      </c>
      <c r="B38" s="257">
        <v>1</v>
      </c>
      <c r="C38" s="257" t="s">
        <v>129</v>
      </c>
      <c r="D38" s="257">
        <v>0.2195</v>
      </c>
      <c r="E38" s="257">
        <v>0</v>
      </c>
      <c r="U38" s="225"/>
      <c r="V38" s="221" t="str">
        <f t="shared" si="10"/>
        <v>CH</v>
      </c>
      <c r="W38" s="259">
        <f t="shared" si="11"/>
        <v>1</v>
      </c>
      <c r="X38" s="259">
        <f t="shared" si="12"/>
        <v>1</v>
      </c>
      <c r="Y38" s="259">
        <f t="shared" si="13"/>
        <v>1</v>
      </c>
      <c r="Z38" s="259">
        <f t="shared" si="14"/>
        <v>0.82111001416921814</v>
      </c>
      <c r="AA38" s="259">
        <f t="shared" si="15"/>
        <v>0.82111001416921814</v>
      </c>
      <c r="AB38" s="259">
        <f t="shared" si="16"/>
        <v>0.78141035512753687</v>
      </c>
      <c r="AC38" s="259">
        <f t="shared" si="17"/>
        <v>0.78141035512753687</v>
      </c>
      <c r="AD38" s="259">
        <f t="shared" si="18"/>
        <v>4.1555765493576279E-2</v>
      </c>
      <c r="AE38" s="259">
        <f t="shared" si="19"/>
        <v>0.10561609094308702</v>
      </c>
      <c r="AF38" s="259">
        <f t="shared" si="20"/>
        <v>1.4270559129019351E-2</v>
      </c>
      <c r="AG38" s="259">
        <f t="shared" si="21"/>
        <v>1.3596806076794603E-2</v>
      </c>
      <c r="AH38" s="259">
        <f t="shared" si="22"/>
        <v>0.21523368098990883</v>
      </c>
      <c r="AI38" s="259">
        <f t="shared" si="23"/>
        <v>0.11272379245419735</v>
      </c>
      <c r="AJ38" s="259">
        <f t="shared" si="24"/>
        <v>0.47314774888694827</v>
      </c>
      <c r="AK38" s="259">
        <f t="shared" si="25"/>
        <v>0.28300451167758622</v>
      </c>
      <c r="AL38" s="259">
        <f t="shared" si="26"/>
        <v>5.137705544733024E-2</v>
      </c>
      <c r="AM38" s="259">
        <f t="shared" si="27"/>
        <v>0.11773870884922133</v>
      </c>
      <c r="AN38" s="259">
        <f t="shared" si="28"/>
        <v>0.84085547494562074</v>
      </c>
      <c r="AO38" s="259">
        <f t="shared" si="29"/>
        <v>0.9228544643452774</v>
      </c>
      <c r="AP38" s="259">
        <f t="shared" si="30"/>
        <v>0.29284394346416548</v>
      </c>
      <c r="AQ38" s="222"/>
      <c r="AR38" s="222"/>
      <c r="AS38" s="255"/>
      <c r="AT38" s="255"/>
      <c r="BK38" s="222"/>
      <c r="BL38" s="222"/>
    </row>
    <row r="39" spans="1:64">
      <c r="A39" s="257">
        <v>5</v>
      </c>
      <c r="B39" s="257">
        <v>2</v>
      </c>
      <c r="C39" s="257" t="s">
        <v>281</v>
      </c>
      <c r="D39" s="257">
        <v>1.3453999999999999</v>
      </c>
      <c r="E39" s="257">
        <v>1.1759999999999999</v>
      </c>
      <c r="U39" s="225"/>
      <c r="V39" s="221" t="str">
        <f t="shared" si="10"/>
        <v>ACH</v>
      </c>
      <c r="W39" s="259">
        <f t="shared" si="11"/>
        <v>1.0365041111017466</v>
      </c>
      <c r="X39" s="259">
        <f t="shared" si="12"/>
        <v>1.0365041111017466</v>
      </c>
      <c r="Y39" s="259">
        <f t="shared" si="13"/>
        <v>1.0365041111017466</v>
      </c>
      <c r="Z39" s="259">
        <f t="shared" si="14"/>
        <v>1</v>
      </c>
      <c r="AA39" s="259">
        <f t="shared" si="15"/>
        <v>1</v>
      </c>
      <c r="AB39" s="259">
        <f t="shared" si="16"/>
        <v>0.58365271594534529</v>
      </c>
      <c r="AC39" s="259">
        <f t="shared" si="17"/>
        <v>0.58365271594534529</v>
      </c>
      <c r="AD39" s="259">
        <f t="shared" si="18"/>
        <v>0.12861355195526006</v>
      </c>
      <c r="AE39" s="259">
        <f t="shared" si="19"/>
        <v>0.12811689525313577</v>
      </c>
      <c r="AF39" s="259">
        <f t="shared" si="20"/>
        <v>5.4254256151088295E-2</v>
      </c>
      <c r="AG39" s="259">
        <f t="shared" si="21"/>
        <v>1.3773299555829737E-2</v>
      </c>
      <c r="AH39" s="259">
        <f t="shared" si="22"/>
        <v>0.92026939791174966</v>
      </c>
      <c r="AI39" s="259">
        <f t="shared" si="23"/>
        <v>0.32635133890306844</v>
      </c>
      <c r="AJ39" s="259">
        <f t="shared" si="24"/>
        <v>0.98085941992286885</v>
      </c>
      <c r="AK39" s="259">
        <f t="shared" si="25"/>
        <v>0.59371217439051249</v>
      </c>
      <c r="AL39" s="259">
        <f t="shared" si="26"/>
        <v>0.12369251970484638</v>
      </c>
      <c r="AM39" s="259">
        <f t="shared" si="27"/>
        <v>0.1768046233338085</v>
      </c>
      <c r="AN39" s="259">
        <f t="shared" si="28"/>
        <v>1.5929396893230012</v>
      </c>
      <c r="AO39" s="259">
        <f t="shared" si="29"/>
        <v>2.1121422662477922</v>
      </c>
      <c r="AP39" s="259">
        <f t="shared" si="30"/>
        <v>1</v>
      </c>
      <c r="AQ39" s="222"/>
      <c r="AR39" s="222"/>
      <c r="AS39" s="255"/>
      <c r="AT39" s="255"/>
      <c r="BK39" s="222"/>
      <c r="BL39" s="222"/>
    </row>
    <row r="40" spans="1:64">
      <c r="A40" s="257">
        <v>6</v>
      </c>
      <c r="B40" s="257">
        <v>2</v>
      </c>
      <c r="C40" s="257" t="s">
        <v>282</v>
      </c>
      <c r="D40" s="257">
        <v>1.1167</v>
      </c>
      <c r="E40" s="257">
        <v>0.86699999999999999</v>
      </c>
      <c r="U40" s="225"/>
      <c r="V40" s="221" t="str">
        <f t="shared" si="10"/>
        <v>AC</v>
      </c>
      <c r="W40" s="259">
        <f t="shared" si="11"/>
        <v>1.0365041111017466</v>
      </c>
      <c r="X40" s="259">
        <f t="shared" si="12"/>
        <v>1.0365041111017466</v>
      </c>
      <c r="Y40" s="259">
        <f t="shared" si="13"/>
        <v>1.0365041111017466</v>
      </c>
      <c r="Z40" s="259">
        <f t="shared" si="14"/>
        <v>1</v>
      </c>
      <c r="AA40" s="259">
        <f t="shared" si="15"/>
        <v>1</v>
      </c>
      <c r="AB40" s="259">
        <f t="shared" si="16"/>
        <v>0.58365271594534529</v>
      </c>
      <c r="AC40" s="259">
        <f t="shared" si="17"/>
        <v>0.58365271594534529</v>
      </c>
      <c r="AD40" s="259">
        <f t="shared" si="18"/>
        <v>0.12861355195526006</v>
      </c>
      <c r="AE40" s="259">
        <f t="shared" si="19"/>
        <v>0.12811689525313577</v>
      </c>
      <c r="AF40" s="259">
        <f t="shared" si="20"/>
        <v>5.4254256151088295E-2</v>
      </c>
      <c r="AG40" s="259">
        <f t="shared" si="21"/>
        <v>1.3773299555829737E-2</v>
      </c>
      <c r="AH40" s="259">
        <f t="shared" si="22"/>
        <v>0.92026939791174966</v>
      </c>
      <c r="AI40" s="259">
        <f t="shared" si="23"/>
        <v>0.32635133890306844</v>
      </c>
      <c r="AJ40" s="259">
        <f t="shared" si="24"/>
        <v>0.98085941992286885</v>
      </c>
      <c r="AK40" s="259">
        <f t="shared" si="25"/>
        <v>0.59371217439051249</v>
      </c>
      <c r="AL40" s="259">
        <f t="shared" si="26"/>
        <v>0.12369251970484638</v>
      </c>
      <c r="AM40" s="259">
        <f t="shared" si="27"/>
        <v>0.1768046233338085</v>
      </c>
      <c r="AN40" s="259">
        <f t="shared" si="28"/>
        <v>1.5929396893230012</v>
      </c>
      <c r="AO40" s="259">
        <f t="shared" si="29"/>
        <v>2.1121422662477922</v>
      </c>
      <c r="AP40" s="259">
        <f t="shared" si="30"/>
        <v>1</v>
      </c>
      <c r="AQ40" s="222"/>
      <c r="AR40" s="222"/>
      <c r="AS40" s="255"/>
      <c r="AT40" s="255"/>
      <c r="BK40" s="222"/>
      <c r="BL40" s="222"/>
    </row>
    <row r="41" spans="1:64">
      <c r="A41" s="257">
        <v>7</v>
      </c>
      <c r="B41" s="257">
        <v>2</v>
      </c>
      <c r="C41" s="257" t="s">
        <v>283</v>
      </c>
      <c r="D41" s="257">
        <v>1.1173</v>
      </c>
      <c r="E41" s="257">
        <v>0.98799999999999999</v>
      </c>
      <c r="U41" s="225"/>
      <c r="V41" s="221" t="str">
        <f t="shared" si="10"/>
        <v>ACCH3</v>
      </c>
      <c r="W41" s="259">
        <f t="shared" si="11"/>
        <v>1.2519845963528329</v>
      </c>
      <c r="X41" s="259">
        <f t="shared" si="12"/>
        <v>1.2519845963528329</v>
      </c>
      <c r="Y41" s="259">
        <f t="shared" si="13"/>
        <v>1.2519845963528329</v>
      </c>
      <c r="Z41" s="259">
        <f t="shared" si="14"/>
        <v>1.6053139767593951</v>
      </c>
      <c r="AA41" s="259">
        <f t="shared" si="15"/>
        <v>1.6053139767593951</v>
      </c>
      <c r="AB41" s="259">
        <f t="shared" si="16"/>
        <v>1</v>
      </c>
      <c r="AC41" s="259">
        <f t="shared" si="17"/>
        <v>1</v>
      </c>
      <c r="AD41" s="259">
        <f t="shared" si="18"/>
        <v>7.5041449793152415E-2</v>
      </c>
      <c r="AE41" s="259">
        <f t="shared" si="19"/>
        <v>0.14300647247041912</v>
      </c>
      <c r="AF41" s="259">
        <f t="shared" si="20"/>
        <v>1.060348768424003E-8</v>
      </c>
      <c r="AG41" s="259">
        <f t="shared" si="21"/>
        <v>5.7663229466372194E-2</v>
      </c>
      <c r="AH41" s="259">
        <f t="shared" si="22"/>
        <v>1.1829167776031251</v>
      </c>
      <c r="AI41" s="259">
        <f t="shared" si="23"/>
        <v>0.15086907087489959</v>
      </c>
      <c r="AJ41" s="259">
        <f t="shared" si="24"/>
        <v>1.0845526579436189E-8</v>
      </c>
      <c r="AK41" s="259">
        <f t="shared" si="25"/>
        <v>0.94051736649135664</v>
      </c>
      <c r="AL41" s="259">
        <f t="shared" si="26"/>
        <v>0.1174732754796613</v>
      </c>
      <c r="AM41" s="259">
        <f t="shared" si="27"/>
        <v>6.0054062801347889E-2</v>
      </c>
      <c r="AN41" s="259">
        <f t="shared" si="28"/>
        <v>1.430310198675915</v>
      </c>
      <c r="AO41" s="259">
        <f t="shared" si="29"/>
        <v>1.2953044553508362</v>
      </c>
      <c r="AP41" s="259">
        <f t="shared" si="30"/>
        <v>1</v>
      </c>
      <c r="AQ41" s="222"/>
      <c r="AR41" s="222"/>
      <c r="AS41" s="255"/>
      <c r="AT41" s="255"/>
      <c r="BK41" s="222"/>
      <c r="BL41" s="222"/>
    </row>
    <row r="42" spans="1:64">
      <c r="A42" s="257">
        <v>8</v>
      </c>
      <c r="B42" s="257">
        <v>2</v>
      </c>
      <c r="C42" s="257" t="s">
        <v>284</v>
      </c>
      <c r="D42" s="257">
        <v>0.88859999999999995</v>
      </c>
      <c r="E42" s="257">
        <v>0.67600000000000005</v>
      </c>
      <c r="U42" s="225"/>
      <c r="V42" s="221" t="str">
        <f t="shared" si="10"/>
        <v>ACCH2</v>
      </c>
      <c r="W42" s="259">
        <f t="shared" si="11"/>
        <v>1.2519845963528329</v>
      </c>
      <c r="X42" s="259">
        <f t="shared" si="12"/>
        <v>1.2519845963528329</v>
      </c>
      <c r="Y42" s="259">
        <f t="shared" si="13"/>
        <v>1.2519845963528329</v>
      </c>
      <c r="Z42" s="259">
        <f t="shared" si="14"/>
        <v>1.6053139767593951</v>
      </c>
      <c r="AA42" s="259">
        <f t="shared" si="15"/>
        <v>1.6053139767593951</v>
      </c>
      <c r="AB42" s="259">
        <f t="shared" si="16"/>
        <v>1</v>
      </c>
      <c r="AC42" s="259">
        <f t="shared" si="17"/>
        <v>1</v>
      </c>
      <c r="AD42" s="259">
        <f t="shared" si="18"/>
        <v>7.5041449793152415E-2</v>
      </c>
      <c r="AE42" s="259">
        <f t="shared" si="19"/>
        <v>0.14300647247041912</v>
      </c>
      <c r="AF42" s="259">
        <f t="shared" si="20"/>
        <v>1.060348768424003E-8</v>
      </c>
      <c r="AG42" s="259">
        <f t="shared" si="21"/>
        <v>5.7663229466372194E-2</v>
      </c>
      <c r="AH42" s="259">
        <f t="shared" si="22"/>
        <v>1.1829167776031251</v>
      </c>
      <c r="AI42" s="259">
        <f t="shared" si="23"/>
        <v>0.15086907087489959</v>
      </c>
      <c r="AJ42" s="259">
        <f t="shared" si="24"/>
        <v>1.0845526579436189E-8</v>
      </c>
      <c r="AK42" s="259">
        <f t="shared" si="25"/>
        <v>0.94051736649135664</v>
      </c>
      <c r="AL42" s="259">
        <f t="shared" si="26"/>
        <v>0.1174732754796613</v>
      </c>
      <c r="AM42" s="259">
        <f t="shared" si="27"/>
        <v>6.0054062801347889E-2</v>
      </c>
      <c r="AN42" s="259">
        <f t="shared" si="28"/>
        <v>1.430310198675915</v>
      </c>
      <c r="AO42" s="259">
        <f t="shared" si="29"/>
        <v>1.2953044553508362</v>
      </c>
      <c r="AP42" s="259">
        <f t="shared" si="30"/>
        <v>1</v>
      </c>
      <c r="AQ42" s="222"/>
      <c r="AR42" s="222"/>
      <c r="AS42" s="255"/>
      <c r="AT42" s="255"/>
      <c r="BK42" s="222"/>
      <c r="BL42" s="222"/>
    </row>
    <row r="43" spans="1:64">
      <c r="A43" s="257">
        <v>70</v>
      </c>
      <c r="B43" s="257">
        <v>2</v>
      </c>
      <c r="C43" s="257" t="s">
        <v>285</v>
      </c>
      <c r="D43" s="257">
        <v>0.66049999999999998</v>
      </c>
      <c r="E43" s="257">
        <v>0.48499999999999999</v>
      </c>
      <c r="U43" s="225"/>
      <c r="V43" s="221" t="str">
        <f t="shared" si="10"/>
        <v>OH</v>
      </c>
      <c r="W43" s="259">
        <f t="shared" si="11"/>
        <v>0.60394501111602583</v>
      </c>
      <c r="X43" s="259">
        <f t="shared" si="12"/>
        <v>0.60394501111602583</v>
      </c>
      <c r="Y43" s="259">
        <f t="shared" si="13"/>
        <v>0.60394501111602583</v>
      </c>
      <c r="Z43" s="259">
        <f t="shared" si="14"/>
        <v>0.74909274997821962</v>
      </c>
      <c r="AA43" s="259">
        <f t="shared" si="15"/>
        <v>0.74909274997821962</v>
      </c>
      <c r="AB43" s="259">
        <f t="shared" si="16"/>
        <v>0.9201210511081841</v>
      </c>
      <c r="AC43" s="259">
        <f t="shared" si="17"/>
        <v>0.9201210511081841</v>
      </c>
      <c r="AD43" s="259">
        <f t="shared" si="18"/>
        <v>1</v>
      </c>
      <c r="AE43" s="259">
        <f t="shared" si="19"/>
        <v>1.5558844657167408</v>
      </c>
      <c r="AF43" s="259">
        <f t="shared" si="20"/>
        <v>0.31989224364388619</v>
      </c>
      <c r="AG43" s="259">
        <f t="shared" si="21"/>
        <v>2.3102061720701963</v>
      </c>
      <c r="AH43" s="259">
        <f t="shared" si="22"/>
        <v>0.76274104800824583</v>
      </c>
      <c r="AI43" s="259">
        <f t="shared" si="23"/>
        <v>1.9279486331582707</v>
      </c>
      <c r="AJ43" s="259">
        <f t="shared" si="24"/>
        <v>0.72182590050068518</v>
      </c>
      <c r="AK43" s="259">
        <f t="shared" si="25"/>
        <v>0.97252068207085152</v>
      </c>
      <c r="AL43" s="259">
        <f t="shared" si="26"/>
        <v>1.1840233592405178</v>
      </c>
      <c r="AM43" s="259">
        <f t="shared" si="27"/>
        <v>0.5264362590593058</v>
      </c>
      <c r="AN43" s="259">
        <f t="shared" si="28"/>
        <v>0.81019623066117263</v>
      </c>
      <c r="AO43" s="259">
        <f t="shared" si="29"/>
        <v>1.3721283165833817</v>
      </c>
      <c r="AP43" s="259">
        <f t="shared" si="30"/>
        <v>3.4346638870716331</v>
      </c>
      <c r="AQ43" s="222"/>
      <c r="AR43" s="222"/>
      <c r="AS43" s="255"/>
      <c r="AT43" s="255"/>
      <c r="BK43" s="222"/>
      <c r="BL43" s="222"/>
    </row>
    <row r="44" spans="1:64">
      <c r="A44" s="257">
        <v>9</v>
      </c>
      <c r="B44" s="257">
        <v>3</v>
      </c>
      <c r="C44" s="257" t="s">
        <v>164</v>
      </c>
      <c r="D44" s="257">
        <v>0.53129999999999999</v>
      </c>
      <c r="E44" s="257">
        <v>0.4</v>
      </c>
      <c r="U44" s="225"/>
      <c r="V44" s="221" t="str">
        <f t="shared" si="10"/>
        <v>CH3OH</v>
      </c>
      <c r="W44" s="259">
        <f t="shared" si="11"/>
        <v>0.94815972280421845</v>
      </c>
      <c r="X44" s="259">
        <f t="shared" si="12"/>
        <v>0.94815972280421845</v>
      </c>
      <c r="Y44" s="259">
        <f t="shared" si="13"/>
        <v>0.94815972280421845</v>
      </c>
      <c r="Z44" s="259">
        <f t="shared" si="14"/>
        <v>1.1749344004354803</v>
      </c>
      <c r="AA44" s="259">
        <f t="shared" si="15"/>
        <v>1.1749344004354803</v>
      </c>
      <c r="AB44" s="259">
        <f t="shared" si="16"/>
        <v>1.1542825265165619</v>
      </c>
      <c r="AC44" s="259">
        <f t="shared" si="17"/>
        <v>1.1542825265165619</v>
      </c>
      <c r="AD44" s="259">
        <f t="shared" si="18"/>
        <v>0.44791143250814064</v>
      </c>
      <c r="AE44" s="259">
        <f t="shared" si="19"/>
        <v>1</v>
      </c>
      <c r="AF44" s="259">
        <f t="shared" si="20"/>
        <v>1.7924592975844713</v>
      </c>
      <c r="AG44" s="259">
        <f t="shared" si="21"/>
        <v>1.3880582832360489</v>
      </c>
      <c r="AH44" s="259">
        <f t="shared" si="22"/>
        <v>0.92735843978727051</v>
      </c>
      <c r="AI44" s="259">
        <f t="shared" si="23"/>
        <v>0.37235444237500531</v>
      </c>
      <c r="AJ44" s="259">
        <f t="shared" si="24"/>
        <v>1.0351681949199849</v>
      </c>
      <c r="AK44" s="259">
        <f t="shared" si="25"/>
        <v>0.31396564583178205</v>
      </c>
      <c r="AL44" s="259">
        <f t="shared" si="26"/>
        <v>0.20619902641112151</v>
      </c>
      <c r="AM44" s="259">
        <f t="shared" si="27"/>
        <v>1.918028353404295</v>
      </c>
      <c r="AN44" s="259">
        <f t="shared" si="28"/>
        <v>1.3916432582485341</v>
      </c>
      <c r="AO44" s="259">
        <f t="shared" si="29"/>
        <v>1.5674654295047661</v>
      </c>
      <c r="AP44" s="259">
        <f t="shared" si="30"/>
        <v>1</v>
      </c>
      <c r="AQ44" s="222"/>
      <c r="AR44" s="222"/>
      <c r="AS44" s="255"/>
      <c r="AT44" s="255"/>
      <c r="BK44" s="222"/>
      <c r="BL44" s="222"/>
    </row>
    <row r="45" spans="1:64">
      <c r="A45" s="257">
        <v>10</v>
      </c>
      <c r="B45" s="257">
        <v>3</v>
      </c>
      <c r="C45" s="257" t="s">
        <v>286</v>
      </c>
      <c r="D45" s="257">
        <v>0.36520000000000002</v>
      </c>
      <c r="E45" s="257">
        <v>0.12</v>
      </c>
      <c r="U45" s="225"/>
      <c r="V45" s="221" t="str">
        <f t="shared" si="10"/>
        <v>H2O</v>
      </c>
      <c r="W45" s="259">
        <f t="shared" si="11"/>
        <v>0.38011786635938943</v>
      </c>
      <c r="X45" s="259">
        <f t="shared" si="12"/>
        <v>0.38011786635938943</v>
      </c>
      <c r="Y45" s="259">
        <f t="shared" si="13"/>
        <v>0.38011786635938943</v>
      </c>
      <c r="Z45" s="259">
        <f t="shared" si="14"/>
        <v>0.3109433784513686</v>
      </c>
      <c r="AA45" s="259">
        <f t="shared" si="15"/>
        <v>0.3109433784513686</v>
      </c>
      <c r="AB45" s="259">
        <f t="shared" si="16"/>
        <v>0.29597644216026503</v>
      </c>
      <c r="AC45" s="259">
        <f t="shared" si="17"/>
        <v>0.29597644216026503</v>
      </c>
      <c r="AD45" s="259">
        <f t="shared" si="18"/>
        <v>2.0931598930844642</v>
      </c>
      <c r="AE45" s="259">
        <f t="shared" si="19"/>
        <v>0.39308015236536015</v>
      </c>
      <c r="AF45" s="259">
        <f t="shared" si="20"/>
        <v>1</v>
      </c>
      <c r="AG45" s="259">
        <f t="shared" si="21"/>
        <v>0.35124617963749122</v>
      </c>
      <c r="AH45" s="259">
        <f t="shared" si="22"/>
        <v>1.8776438758942042</v>
      </c>
      <c r="AI45" s="259">
        <f t="shared" si="23"/>
        <v>1.4535554281628924</v>
      </c>
      <c r="AJ45" s="259">
        <f t="shared" si="24"/>
        <v>0.79060972276064601</v>
      </c>
      <c r="AK45" s="259">
        <f t="shared" si="25"/>
        <v>0.85416285795588209</v>
      </c>
      <c r="AL45" s="259">
        <f t="shared" si="26"/>
        <v>0.45651363627070851</v>
      </c>
      <c r="AM45" s="259">
        <f t="shared" si="27"/>
        <v>1.0464773622730033</v>
      </c>
      <c r="AN45" s="259">
        <f t="shared" si="28"/>
        <v>0.30292778308662055</v>
      </c>
      <c r="AO45" s="259">
        <f t="shared" si="29"/>
        <v>0.31968602786141248</v>
      </c>
      <c r="AP45" s="259">
        <f t="shared" si="30"/>
        <v>6.7597773330747582E-2</v>
      </c>
      <c r="AQ45" s="222"/>
      <c r="AR45" s="222"/>
      <c r="AS45" s="255"/>
      <c r="AT45" s="255"/>
      <c r="BK45" s="222"/>
      <c r="BL45" s="222"/>
    </row>
    <row r="46" spans="1:64">
      <c r="A46" s="257">
        <v>11</v>
      </c>
      <c r="B46" s="257">
        <v>4</v>
      </c>
      <c r="C46" s="257" t="s">
        <v>166</v>
      </c>
      <c r="D46" s="257">
        <v>1.2663</v>
      </c>
      <c r="E46" s="257">
        <v>0.96799999999999997</v>
      </c>
      <c r="U46" s="225"/>
      <c r="V46" s="221" t="str">
        <f t="shared" si="10"/>
        <v>ACOH</v>
      </c>
      <c r="W46" s="259">
        <f t="shared" si="11"/>
        <v>0.41096503607514018</v>
      </c>
      <c r="X46" s="259">
        <f t="shared" si="12"/>
        <v>0.41096503607514018</v>
      </c>
      <c r="Y46" s="259">
        <f t="shared" si="13"/>
        <v>0.41096503607514018</v>
      </c>
      <c r="Z46" s="259">
        <f t="shared" si="14"/>
        <v>0.92154616813025281</v>
      </c>
      <c r="AA46" s="259">
        <f t="shared" si="15"/>
        <v>0.92154616813025281</v>
      </c>
      <c r="AB46" s="259">
        <f t="shared" si="16"/>
        <v>0.45504409420914843</v>
      </c>
      <c r="AC46" s="259">
        <f t="shared" si="17"/>
        <v>0.45504409420914843</v>
      </c>
      <c r="AD46" s="259">
        <f t="shared" si="18"/>
        <v>4.2890687883315319</v>
      </c>
      <c r="AE46" s="259">
        <f t="shared" si="19"/>
        <v>2.35153928202923</v>
      </c>
      <c r="AF46" s="259">
        <f t="shared" si="20"/>
        <v>6.9611970037077002</v>
      </c>
      <c r="AG46" s="259">
        <f t="shared" si="21"/>
        <v>1</v>
      </c>
      <c r="AH46" s="259">
        <f t="shared" si="22"/>
        <v>3.1523686384331433</v>
      </c>
      <c r="AI46" s="259">
        <f t="shared" si="23"/>
        <v>2.3967009336227751</v>
      </c>
      <c r="AJ46" s="259">
        <f t="shared" si="24"/>
        <v>4.2587526054887901</v>
      </c>
      <c r="AK46" s="259">
        <f t="shared" si="25"/>
        <v>1</v>
      </c>
      <c r="AL46" s="259">
        <f t="shared" si="26"/>
        <v>0.67937152558290848</v>
      </c>
      <c r="AM46" s="259">
        <f t="shared" si="27"/>
        <v>0.26756457890194901</v>
      </c>
      <c r="AN46" s="259">
        <f t="shared" si="28"/>
        <v>1</v>
      </c>
      <c r="AO46" s="259">
        <f t="shared" si="29"/>
        <v>1</v>
      </c>
      <c r="AP46" s="259">
        <f t="shared" si="30"/>
        <v>1</v>
      </c>
      <c r="AQ46" s="222"/>
      <c r="AR46" s="222"/>
      <c r="AS46" s="255"/>
      <c r="AT46" s="255"/>
      <c r="BK46" s="222"/>
      <c r="BL46" s="222"/>
    </row>
    <row r="47" spans="1:64">
      <c r="A47" s="257">
        <v>12</v>
      </c>
      <c r="B47" s="257">
        <v>4</v>
      </c>
      <c r="C47" s="257" t="s">
        <v>165</v>
      </c>
      <c r="D47" s="257">
        <v>1.0396000000000001</v>
      </c>
      <c r="E47" s="257">
        <v>0.66</v>
      </c>
      <c r="F47" s="250"/>
      <c r="G47" s="250"/>
      <c r="H47" s="250"/>
      <c r="U47" s="225"/>
      <c r="V47" s="221" t="str">
        <f t="shared" si="10"/>
        <v>CH3CO</v>
      </c>
      <c r="W47" s="259">
        <f t="shared" si="11"/>
        <v>0.91733657770990207</v>
      </c>
      <c r="X47" s="259">
        <f t="shared" si="12"/>
        <v>0.91733657770990207</v>
      </c>
      <c r="Y47" s="259">
        <f t="shared" si="13"/>
        <v>0.91733657770990207</v>
      </c>
      <c r="Z47" s="259">
        <f t="shared" si="14"/>
        <v>0.63653433998206899</v>
      </c>
      <c r="AA47" s="259">
        <f t="shared" si="15"/>
        <v>0.63653433998206899</v>
      </c>
      <c r="AB47" s="259">
        <f t="shared" si="16"/>
        <v>0.30745415004452498</v>
      </c>
      <c r="AC47" s="259">
        <f t="shared" si="17"/>
        <v>0.30745415004452498</v>
      </c>
      <c r="AD47" s="259">
        <f t="shared" si="18"/>
        <v>0.58837632830382225</v>
      </c>
      <c r="AE47" s="259">
        <f t="shared" si="19"/>
        <v>0.7043530364183942</v>
      </c>
      <c r="AF47" s="259">
        <f t="shared" si="20"/>
        <v>0.21795723785377114</v>
      </c>
      <c r="AG47" s="259">
        <f t="shared" si="21"/>
        <v>1.535947088967039</v>
      </c>
      <c r="AH47" s="259">
        <f t="shared" si="22"/>
        <v>1</v>
      </c>
      <c r="AI47" s="259">
        <f t="shared" si="23"/>
        <v>1.1280131862880365</v>
      </c>
      <c r="AJ47" s="259">
        <f t="shared" si="24"/>
        <v>1.9917655196963406</v>
      </c>
      <c r="AK47" s="259">
        <f t="shared" si="25"/>
        <v>1</v>
      </c>
      <c r="AL47" s="259">
        <f t="shared" si="26"/>
        <v>2.0744879032533201E-9</v>
      </c>
      <c r="AM47" s="259">
        <f t="shared" si="27"/>
        <v>0.11552012810202526</v>
      </c>
      <c r="AN47" s="259">
        <f t="shared" si="28"/>
        <v>1.5221431320708521</v>
      </c>
      <c r="AO47" s="259">
        <f t="shared" si="29"/>
        <v>3.1371594272302397</v>
      </c>
      <c r="AP47" s="259">
        <f t="shared" si="30"/>
        <v>1</v>
      </c>
      <c r="AQ47" s="222"/>
      <c r="AR47" s="222"/>
      <c r="AS47" s="255"/>
      <c r="AT47" s="255"/>
      <c r="BK47" s="222"/>
      <c r="BL47" s="222"/>
    </row>
    <row r="48" spans="1:64">
      <c r="A48" s="257">
        <v>13</v>
      </c>
      <c r="B48" s="257">
        <v>4</v>
      </c>
      <c r="C48" s="257" t="s">
        <v>287</v>
      </c>
      <c r="D48" s="257">
        <v>0.81210000000000004</v>
      </c>
      <c r="E48" s="257">
        <v>0.34799999999999998</v>
      </c>
      <c r="U48" s="225"/>
      <c r="V48" s="221" t="str">
        <f t="shared" si="10"/>
        <v>CHO</v>
      </c>
      <c r="W48" s="259">
        <f t="shared" si="11"/>
        <v>0.19583136547813862</v>
      </c>
      <c r="X48" s="259">
        <f t="shared" si="12"/>
        <v>0.19583136547813862</v>
      </c>
      <c r="Y48" s="259">
        <f t="shared" si="13"/>
        <v>0.19583136547813862</v>
      </c>
      <c r="Z48" s="259">
        <f t="shared" si="14"/>
        <v>0.92735843978727051</v>
      </c>
      <c r="AA48" s="259">
        <f t="shared" si="15"/>
        <v>0.92735843978727051</v>
      </c>
      <c r="AB48" s="259">
        <f t="shared" si="16"/>
        <v>0.71051152455159239</v>
      </c>
      <c r="AC48" s="259">
        <f t="shared" si="17"/>
        <v>0.71051152455159239</v>
      </c>
      <c r="AD48" s="259">
        <f t="shared" si="18"/>
        <v>0.18165857598337712</v>
      </c>
      <c r="AE48" s="259">
        <f t="shared" si="19"/>
        <v>2.9948333949459003</v>
      </c>
      <c r="AF48" s="259">
        <f t="shared" si="20"/>
        <v>0.2122017859198112</v>
      </c>
      <c r="AG48" s="259">
        <f t="shared" si="21"/>
        <v>1.6515144729437219</v>
      </c>
      <c r="AH48" s="259">
        <f t="shared" si="22"/>
        <v>0.6618584745620909</v>
      </c>
      <c r="AI48" s="259">
        <f t="shared" si="23"/>
        <v>1</v>
      </c>
      <c r="AJ48" s="259">
        <f t="shared" si="24"/>
        <v>1.4270856681942981</v>
      </c>
      <c r="AK48" s="259">
        <f t="shared" si="25"/>
        <v>1</v>
      </c>
      <c r="AL48" s="259">
        <f t="shared" si="26"/>
        <v>1</v>
      </c>
      <c r="AM48" s="259">
        <f t="shared" si="27"/>
        <v>0.20107796704702074</v>
      </c>
      <c r="AN48" s="259">
        <f t="shared" si="28"/>
        <v>0.80436582073945184</v>
      </c>
      <c r="AO48" s="259">
        <f t="shared" si="29"/>
        <v>4.7567656452289802</v>
      </c>
      <c r="AP48" s="259">
        <f t="shared" si="30"/>
        <v>1</v>
      </c>
      <c r="AQ48" s="222"/>
      <c r="AR48" s="222"/>
      <c r="AS48" s="255"/>
      <c r="AT48" s="255"/>
      <c r="BK48" s="222"/>
      <c r="BL48" s="222"/>
    </row>
    <row r="49" spans="1:64">
      <c r="A49" s="257">
        <v>14</v>
      </c>
      <c r="B49" s="257">
        <v>5</v>
      </c>
      <c r="C49" s="257" t="s">
        <v>167</v>
      </c>
      <c r="D49" s="257">
        <v>1</v>
      </c>
      <c r="E49" s="257">
        <v>1.2</v>
      </c>
      <c r="R49" s="250"/>
      <c r="U49" s="225"/>
      <c r="V49" s="221" t="str">
        <f t="shared" si="10"/>
        <v>CH3COO</v>
      </c>
      <c r="W49" s="259">
        <f t="shared" si="11"/>
        <v>0.69063523190218212</v>
      </c>
      <c r="X49" s="259">
        <f t="shared" si="12"/>
        <v>0.69063523190218212</v>
      </c>
      <c r="Y49" s="259">
        <f t="shared" si="13"/>
        <v>0.69063523190218212</v>
      </c>
      <c r="Z49" s="259">
        <f t="shared" si="14"/>
        <v>0.75822939653354404</v>
      </c>
      <c r="AA49" s="259">
        <f t="shared" si="15"/>
        <v>0.75822939653354404</v>
      </c>
      <c r="AB49" s="259">
        <f t="shared" si="16"/>
        <v>1.7300008096430921</v>
      </c>
      <c r="AC49" s="259">
        <f t="shared" si="17"/>
        <v>1.7300008096430921</v>
      </c>
      <c r="AD49" s="259">
        <f t="shared" si="18"/>
        <v>0.45328688670095607</v>
      </c>
      <c r="AE49" s="259">
        <f t="shared" si="19"/>
        <v>0.44718992584644873</v>
      </c>
      <c r="AF49" s="259">
        <f t="shared" si="20"/>
        <v>0.5233898593992008</v>
      </c>
      <c r="AG49" s="259">
        <f t="shared" si="21"/>
        <v>1.125687911113888</v>
      </c>
      <c r="AH49" s="259">
        <f t="shared" si="22"/>
        <v>0.30117479005175535</v>
      </c>
      <c r="AI49" s="259">
        <f t="shared" si="23"/>
        <v>0.55056624382738839</v>
      </c>
      <c r="AJ49" s="259">
        <f t="shared" si="24"/>
        <v>1</v>
      </c>
      <c r="AK49" s="259">
        <f t="shared" si="25"/>
        <v>1</v>
      </c>
      <c r="AL49" s="259">
        <f t="shared" si="26"/>
        <v>0.21585915782802401</v>
      </c>
      <c r="AM49" s="259">
        <f t="shared" si="27"/>
        <v>0.1189981385221992</v>
      </c>
      <c r="AN49" s="259">
        <f t="shared" si="28"/>
        <v>0.70389898129380524</v>
      </c>
      <c r="AO49" s="259">
        <f t="shared" si="29"/>
        <v>1.9662426865822775</v>
      </c>
      <c r="AP49" s="259">
        <f t="shared" si="30"/>
        <v>1</v>
      </c>
      <c r="AQ49" s="222"/>
      <c r="AR49" s="222"/>
      <c r="AS49" s="255"/>
      <c r="AT49" s="255"/>
      <c r="BK49" s="222"/>
      <c r="BL49" s="222"/>
    </row>
    <row r="50" spans="1:64">
      <c r="A50" s="257">
        <v>15</v>
      </c>
      <c r="B50" s="257">
        <v>6</v>
      </c>
      <c r="C50" s="257" t="s">
        <v>288</v>
      </c>
      <c r="D50" s="257">
        <v>1.4311</v>
      </c>
      <c r="E50" s="257">
        <v>1.4319999999999999</v>
      </c>
      <c r="I50" s="250"/>
      <c r="J50" s="250"/>
      <c r="K50" s="250"/>
      <c r="L50" s="250"/>
      <c r="M50" s="250"/>
      <c r="N50" s="250"/>
      <c r="O50" s="250"/>
      <c r="P50" s="250"/>
      <c r="Q50" s="250"/>
      <c r="U50" s="225"/>
      <c r="V50" s="221" t="str">
        <f t="shared" si="10"/>
        <v>CH2NH2</v>
      </c>
      <c r="W50" s="259">
        <f t="shared" si="11"/>
        <v>1.1032661727095325</v>
      </c>
      <c r="X50" s="259">
        <f t="shared" si="12"/>
        <v>1.1032661727095325</v>
      </c>
      <c r="Y50" s="259">
        <f t="shared" si="13"/>
        <v>1.1032661727095325</v>
      </c>
      <c r="Z50" s="259">
        <f t="shared" si="14"/>
        <v>1.1555858536925694</v>
      </c>
      <c r="AA50" s="259">
        <f t="shared" si="15"/>
        <v>1.1555858536925694</v>
      </c>
      <c r="AB50" s="259">
        <f t="shared" si="16"/>
        <v>0.38455570928312494</v>
      </c>
      <c r="AC50" s="259">
        <f t="shared" si="17"/>
        <v>0.38455570928312494</v>
      </c>
      <c r="AD50" s="259">
        <f t="shared" si="18"/>
        <v>2.1876917871047836</v>
      </c>
      <c r="AE50" s="259">
        <f t="shared" si="19"/>
        <v>4.7261903650434238</v>
      </c>
      <c r="AF50" s="259">
        <f t="shared" si="20"/>
        <v>2.9016832168904267</v>
      </c>
      <c r="AG50" s="259">
        <f t="shared" si="21"/>
        <v>1</v>
      </c>
      <c r="AH50" s="259">
        <f t="shared" si="22"/>
        <v>1</v>
      </c>
      <c r="AI50" s="259">
        <f t="shared" si="23"/>
        <v>1</v>
      </c>
      <c r="AJ50" s="259">
        <f t="shared" si="24"/>
        <v>1</v>
      </c>
      <c r="AK50" s="259">
        <f t="shared" si="25"/>
        <v>1</v>
      </c>
      <c r="AL50" s="259">
        <f t="shared" si="26"/>
        <v>1.9100057240075761</v>
      </c>
      <c r="AM50" s="259">
        <f t="shared" si="27"/>
        <v>1</v>
      </c>
      <c r="AN50" s="259">
        <f t="shared" si="28"/>
        <v>1</v>
      </c>
      <c r="AO50" s="259">
        <f t="shared" si="29"/>
        <v>1</v>
      </c>
      <c r="AP50" s="259">
        <f t="shared" si="30"/>
        <v>1</v>
      </c>
      <c r="AQ50" s="222"/>
      <c r="AR50" s="222"/>
      <c r="AS50" s="255"/>
      <c r="AT50" s="255"/>
      <c r="BK50" s="222"/>
      <c r="BL50" s="222"/>
    </row>
    <row r="51" spans="1:64">
      <c r="A51" s="257">
        <v>16</v>
      </c>
      <c r="B51" s="257">
        <v>7</v>
      </c>
      <c r="C51" s="257" t="s">
        <v>169</v>
      </c>
      <c r="D51" s="257">
        <v>0.92</v>
      </c>
      <c r="E51" s="257">
        <v>1.4</v>
      </c>
      <c r="V51" s="221" t="str">
        <f t="shared" si="10"/>
        <v>ACNH2</v>
      </c>
      <c r="W51" s="259">
        <f t="shared" si="11"/>
        <v>2.5414978535951829E-2</v>
      </c>
      <c r="X51" s="259">
        <f t="shared" si="12"/>
        <v>2.5414978535951829E-2</v>
      </c>
      <c r="Y51" s="259">
        <f t="shared" si="13"/>
        <v>2.5414978535951829E-2</v>
      </c>
      <c r="Z51" s="259">
        <f t="shared" si="14"/>
        <v>0.45022808580870227</v>
      </c>
      <c r="AA51" s="259">
        <f t="shared" si="15"/>
        <v>0.45022808580870227</v>
      </c>
      <c r="AB51" s="259">
        <f t="shared" si="16"/>
        <v>8.5481516955333847E-2</v>
      </c>
      <c r="AC51" s="259">
        <f t="shared" si="17"/>
        <v>8.5481516955333847E-2</v>
      </c>
      <c r="AD51" s="259">
        <f t="shared" si="18"/>
        <v>1.0577054438184634</v>
      </c>
      <c r="AE51" s="259">
        <f t="shared" si="19"/>
        <v>1.4634307264411393</v>
      </c>
      <c r="AF51" s="259">
        <f t="shared" si="20"/>
        <v>3.0083824646425303</v>
      </c>
      <c r="AG51" s="259">
        <f t="shared" si="21"/>
        <v>2.2615643107368899</v>
      </c>
      <c r="AH51" s="259">
        <f t="shared" si="22"/>
        <v>4.2711286941276345</v>
      </c>
      <c r="AI51" s="259">
        <f t="shared" si="23"/>
        <v>1</v>
      </c>
      <c r="AJ51" s="259">
        <f t="shared" si="24"/>
        <v>2.5870230647431094</v>
      </c>
      <c r="AK51" s="259">
        <f t="shared" si="25"/>
        <v>1.0497892106241451</v>
      </c>
      <c r="AL51" s="259">
        <f t="shared" si="26"/>
        <v>1</v>
      </c>
      <c r="AM51" s="259">
        <f t="shared" si="27"/>
        <v>3.5851544221338956</v>
      </c>
      <c r="AN51" s="259">
        <f t="shared" si="28"/>
        <v>1.430310198675915</v>
      </c>
      <c r="AO51" s="259">
        <f t="shared" si="29"/>
        <v>1</v>
      </c>
      <c r="AP51" s="259">
        <f t="shared" si="30"/>
        <v>1</v>
      </c>
      <c r="AQ51" s="222"/>
      <c r="AR51" s="222"/>
      <c r="AS51" s="255"/>
      <c r="AT51" s="255"/>
      <c r="BK51" s="222"/>
      <c r="BL51" s="222"/>
    </row>
    <row r="52" spans="1:64">
      <c r="A52" s="257">
        <v>17</v>
      </c>
      <c r="B52" s="257">
        <v>8</v>
      </c>
      <c r="C52" s="257" t="s">
        <v>170</v>
      </c>
      <c r="D52" s="257">
        <v>0.8952</v>
      </c>
      <c r="E52" s="257">
        <v>0.68</v>
      </c>
      <c r="V52" s="221" t="str">
        <f t="shared" si="10"/>
        <v>COOH</v>
      </c>
      <c r="W52" s="259">
        <f t="shared" si="11"/>
        <v>0.36182128800082836</v>
      </c>
      <c r="X52" s="259">
        <f t="shared" si="12"/>
        <v>0.36182128800082836</v>
      </c>
      <c r="Y52" s="259">
        <f t="shared" si="13"/>
        <v>0.36182128800082836</v>
      </c>
      <c r="Z52" s="259">
        <f t="shared" si="14"/>
        <v>0.81796557187589314</v>
      </c>
      <c r="AA52" s="259">
        <f t="shared" si="15"/>
        <v>0.81796557187589314</v>
      </c>
      <c r="AB52" s="259">
        <f t="shared" si="16"/>
        <v>0.74822376096738485</v>
      </c>
      <c r="AC52" s="259">
        <f t="shared" si="17"/>
        <v>0.74822376096738485</v>
      </c>
      <c r="AD52" s="259">
        <f t="shared" si="18"/>
        <v>1.627200732050158</v>
      </c>
      <c r="AE52" s="259">
        <f t="shared" si="19"/>
        <v>0.33433930990670502</v>
      </c>
      <c r="AF52" s="259">
        <f t="shared" si="20"/>
        <v>1.23781580617947</v>
      </c>
      <c r="AG52" s="259">
        <f t="shared" si="21"/>
        <v>1.0361031553241091</v>
      </c>
      <c r="AH52" s="259">
        <f t="shared" si="22"/>
        <v>2.6121680781532381</v>
      </c>
      <c r="AI52" s="259">
        <f t="shared" si="23"/>
        <v>1.7050812575986363</v>
      </c>
      <c r="AJ52" s="259">
        <f t="shared" si="24"/>
        <v>2.2850189899210736</v>
      </c>
      <c r="AK52" s="259">
        <f t="shared" si="25"/>
        <v>1</v>
      </c>
      <c r="AL52" s="259">
        <f t="shared" si="26"/>
        <v>0.20349113474625352</v>
      </c>
      <c r="AM52" s="259">
        <f t="shared" si="27"/>
        <v>1</v>
      </c>
      <c r="AN52" s="259">
        <f t="shared" si="28"/>
        <v>1.1550271048016805</v>
      </c>
      <c r="AO52" s="259">
        <f t="shared" si="29"/>
        <v>0.88004971203744498</v>
      </c>
      <c r="AP52" s="259">
        <f t="shared" si="30"/>
        <v>2.8268827221536919</v>
      </c>
      <c r="AQ52" s="222"/>
      <c r="AR52" s="222"/>
      <c r="AS52" s="255"/>
      <c r="AT52" s="255"/>
      <c r="BK52" s="222"/>
      <c r="BL52" s="222"/>
    </row>
    <row r="53" spans="1:64" s="250" customFormat="1">
      <c r="A53" s="257">
        <v>18</v>
      </c>
      <c r="B53" s="257">
        <v>9</v>
      </c>
      <c r="C53" s="257" t="s">
        <v>171</v>
      </c>
      <c r="D53" s="257">
        <v>1.6724000000000001</v>
      </c>
      <c r="E53" s="257">
        <v>1.488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T53" s="233"/>
      <c r="U53" s="221"/>
      <c r="V53" s="221" t="str">
        <f t="shared" si="10"/>
        <v>CCL2</v>
      </c>
      <c r="W53" s="259">
        <f t="shared" si="11"/>
        <v>0.89588179499803222</v>
      </c>
      <c r="X53" s="259">
        <f t="shared" si="12"/>
        <v>0.89588179499803222</v>
      </c>
      <c r="Y53" s="259">
        <f t="shared" si="13"/>
        <v>0.89588179499803222</v>
      </c>
      <c r="Z53" s="259">
        <f t="shared" si="14"/>
        <v>0.67631179090548199</v>
      </c>
      <c r="AA53" s="259">
        <f t="shared" si="15"/>
        <v>0.67631179090548199</v>
      </c>
      <c r="AB53" s="259">
        <f t="shared" si="16"/>
        <v>0.63509931953421916</v>
      </c>
      <c r="AC53" s="259">
        <f t="shared" si="17"/>
        <v>0.63509931953421916</v>
      </c>
      <c r="AD53" s="259">
        <f t="shared" si="18"/>
        <v>0.18248042627766825</v>
      </c>
      <c r="AE53" s="259">
        <f t="shared" si="19"/>
        <v>0.11533404546171758</v>
      </c>
      <c r="AF53" s="259">
        <f t="shared" si="20"/>
        <v>0.10177168308540258</v>
      </c>
      <c r="AG53" s="259">
        <f t="shared" si="21"/>
        <v>1</v>
      </c>
      <c r="AH53" s="259">
        <f t="shared" si="22"/>
        <v>0.76554976890095194</v>
      </c>
      <c r="AI53" s="259">
        <f t="shared" si="23"/>
        <v>0.5408889166103783</v>
      </c>
      <c r="AJ53" s="259">
        <f t="shared" si="24"/>
        <v>1.5354519416183403</v>
      </c>
      <c r="AK53" s="259">
        <f t="shared" si="25"/>
        <v>1</v>
      </c>
      <c r="AL53" s="259">
        <f t="shared" si="26"/>
        <v>0.63509931953421916</v>
      </c>
      <c r="AM53" s="259">
        <f t="shared" si="27"/>
        <v>0.17347304838129252</v>
      </c>
      <c r="AN53" s="259">
        <f t="shared" si="28"/>
        <v>1</v>
      </c>
      <c r="AO53" s="259">
        <f t="shared" si="29"/>
        <v>1</v>
      </c>
      <c r="AP53" s="259">
        <f t="shared" si="30"/>
        <v>1</v>
      </c>
    </row>
    <row r="54" spans="1:64">
      <c r="A54" s="257">
        <v>19</v>
      </c>
      <c r="B54" s="257">
        <v>9</v>
      </c>
      <c r="C54" s="257" t="s">
        <v>289</v>
      </c>
      <c r="D54" s="257">
        <v>1.4457</v>
      </c>
      <c r="E54" s="257">
        <v>1.18</v>
      </c>
      <c r="V54" s="221" t="str">
        <f t="shared" si="10"/>
        <v>CCL3</v>
      </c>
      <c r="W54" s="259">
        <f t="shared" si="11"/>
        <v>0.88840297309070726</v>
      </c>
      <c r="X54" s="259">
        <f t="shared" si="12"/>
        <v>0.88840297309070726</v>
      </c>
      <c r="Y54" s="259">
        <f t="shared" si="13"/>
        <v>0.88840297309070726</v>
      </c>
      <c r="Z54" s="259">
        <f t="shared" si="14"/>
        <v>0.47867170757215793</v>
      </c>
      <c r="AA54" s="259">
        <f t="shared" si="15"/>
        <v>0.47867170757215793</v>
      </c>
      <c r="AB54" s="259">
        <f t="shared" si="16"/>
        <v>0.79821697608369202</v>
      </c>
      <c r="AC54" s="259">
        <f t="shared" si="17"/>
        <v>0.79821697608369202</v>
      </c>
      <c r="AD54" s="259">
        <f t="shared" si="18"/>
        <v>9.1381410877727248E-2</v>
      </c>
      <c r="AE54" s="259">
        <f t="shared" si="19"/>
        <v>0.12333410634447778</v>
      </c>
      <c r="AF54" s="259">
        <f t="shared" si="20"/>
        <v>6.9543218716540983E-2</v>
      </c>
      <c r="AG54" s="259">
        <f t="shared" si="21"/>
        <v>1</v>
      </c>
      <c r="AH54" s="259">
        <f t="shared" si="22"/>
        <v>0.16862020510251816</v>
      </c>
      <c r="AI54" s="259">
        <f t="shared" si="23"/>
        <v>0.45710278106561408</v>
      </c>
      <c r="AJ54" s="259">
        <f t="shared" si="24"/>
        <v>0.56604625716859669</v>
      </c>
      <c r="AK54" s="259">
        <f t="shared" si="25"/>
        <v>1</v>
      </c>
      <c r="AL54" s="259">
        <f t="shared" si="26"/>
        <v>1</v>
      </c>
      <c r="AM54" s="259">
        <f t="shared" si="27"/>
        <v>0.19678077231154895</v>
      </c>
      <c r="AN54" s="259">
        <f t="shared" si="28"/>
        <v>1.3133032686376536</v>
      </c>
      <c r="AO54" s="259">
        <f t="shared" si="29"/>
        <v>1</v>
      </c>
      <c r="AP54" s="259">
        <f t="shared" si="30"/>
        <v>1</v>
      </c>
      <c r="AQ54" s="222"/>
      <c r="AR54" s="222"/>
      <c r="AS54" s="255"/>
      <c r="AT54" s="255"/>
      <c r="BK54" s="222"/>
      <c r="BL54" s="222"/>
    </row>
    <row r="55" spans="1:64">
      <c r="A55" s="257">
        <v>20</v>
      </c>
      <c r="B55" s="257">
        <v>10</v>
      </c>
      <c r="C55" s="257" t="s">
        <v>172</v>
      </c>
      <c r="D55" s="257">
        <v>0.998</v>
      </c>
      <c r="E55" s="257">
        <v>0.94799999999999995</v>
      </c>
      <c r="V55" s="221" t="str">
        <f t="shared" si="10"/>
        <v>CON(CH2)2</v>
      </c>
      <c r="W55" s="259">
        <f t="shared" si="11"/>
        <v>0.91376470966623324</v>
      </c>
      <c r="X55" s="259">
        <f t="shared" si="12"/>
        <v>0.91376470966623324</v>
      </c>
      <c r="Y55" s="259">
        <f t="shared" si="13"/>
        <v>0.91376470966623324</v>
      </c>
      <c r="Z55" s="259">
        <f t="shared" si="14"/>
        <v>1</v>
      </c>
      <c r="AA55" s="259">
        <f t="shared" si="15"/>
        <v>1</v>
      </c>
      <c r="AB55" s="259">
        <f t="shared" si="16"/>
        <v>1</v>
      </c>
      <c r="AC55" s="259">
        <f t="shared" si="17"/>
        <v>1</v>
      </c>
      <c r="AD55" s="259">
        <f t="shared" si="18"/>
        <v>0.28000930281113084</v>
      </c>
      <c r="AE55" s="259">
        <f t="shared" si="19"/>
        <v>1</v>
      </c>
      <c r="AF55" s="259">
        <f t="shared" si="20"/>
        <v>5.1660514661581409</v>
      </c>
      <c r="AG55" s="259">
        <f t="shared" si="21"/>
        <v>1</v>
      </c>
      <c r="AH55" s="259">
        <f t="shared" si="22"/>
        <v>1</v>
      </c>
      <c r="AI55" s="259">
        <f t="shared" si="23"/>
        <v>1</v>
      </c>
      <c r="AJ55" s="259">
        <f t="shared" si="24"/>
        <v>1</v>
      </c>
      <c r="AK55" s="259">
        <f t="shared" si="25"/>
        <v>1</v>
      </c>
      <c r="AL55" s="259">
        <f t="shared" si="26"/>
        <v>1</v>
      </c>
      <c r="AM55" s="259">
        <f t="shared" si="27"/>
        <v>1.2542067547953719</v>
      </c>
      <c r="AN55" s="259">
        <f t="shared" si="28"/>
        <v>1</v>
      </c>
      <c r="AO55" s="259">
        <f t="shared" si="29"/>
        <v>1</v>
      </c>
      <c r="AP55" s="259">
        <f t="shared" si="30"/>
        <v>1</v>
      </c>
      <c r="AQ55" s="222"/>
      <c r="AR55" s="222"/>
      <c r="AS55" s="255"/>
      <c r="AT55" s="255"/>
      <c r="BK55" s="222"/>
      <c r="BL55" s="222"/>
    </row>
    <row r="56" spans="1:64">
      <c r="A56" s="257">
        <v>21</v>
      </c>
      <c r="B56" s="257">
        <v>11</v>
      </c>
      <c r="C56" s="257" t="s">
        <v>173</v>
      </c>
      <c r="D56" s="257">
        <v>1.9031</v>
      </c>
      <c r="E56" s="257">
        <v>1.728</v>
      </c>
      <c r="V56" s="260"/>
      <c r="W56" s="260"/>
      <c r="AL56" s="260"/>
      <c r="AM56" s="260"/>
      <c r="AN56" s="260"/>
    </row>
    <row r="57" spans="1:64">
      <c r="A57" s="257">
        <v>22</v>
      </c>
      <c r="B57" s="257">
        <v>11</v>
      </c>
      <c r="C57" s="257" t="s">
        <v>290</v>
      </c>
      <c r="D57" s="257">
        <v>1.6763999999999999</v>
      </c>
      <c r="E57" s="257">
        <v>1.42</v>
      </c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  <c r="AG57" s="260"/>
      <c r="AH57" s="260"/>
      <c r="AI57" s="260"/>
      <c r="AJ57" s="260"/>
      <c r="AK57" s="260"/>
      <c r="AL57" s="260"/>
      <c r="AM57" s="260"/>
      <c r="AN57" s="260"/>
    </row>
    <row r="58" spans="1:64">
      <c r="A58" s="257">
        <v>29</v>
      </c>
      <c r="B58" s="257">
        <v>14</v>
      </c>
      <c r="C58" s="257" t="s">
        <v>291</v>
      </c>
      <c r="D58" s="257">
        <v>1.3692</v>
      </c>
      <c r="E58" s="257">
        <v>1.236</v>
      </c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0"/>
      <c r="AJ58" s="260"/>
      <c r="AK58" s="260"/>
      <c r="AL58" s="260"/>
      <c r="AM58" s="260"/>
      <c r="AN58" s="260"/>
    </row>
    <row r="59" spans="1:64">
      <c r="A59" s="257">
        <v>36</v>
      </c>
      <c r="B59" s="257">
        <v>17</v>
      </c>
      <c r="C59" s="257" t="s">
        <v>174</v>
      </c>
      <c r="D59" s="257">
        <v>1.06</v>
      </c>
      <c r="E59" s="257">
        <v>0.81599999999999995</v>
      </c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0"/>
      <c r="AI59" s="260"/>
      <c r="AJ59" s="260"/>
      <c r="AK59" s="260"/>
      <c r="AL59" s="260"/>
      <c r="AM59" s="260"/>
      <c r="AN59" s="260"/>
    </row>
    <row r="60" spans="1:64">
      <c r="A60" s="258">
        <v>42</v>
      </c>
      <c r="B60" s="257">
        <v>20</v>
      </c>
      <c r="C60" s="258" t="s">
        <v>175</v>
      </c>
      <c r="D60" s="258">
        <v>1.3012999999999999</v>
      </c>
      <c r="E60" s="258">
        <v>1.224</v>
      </c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  <c r="AG60" s="260"/>
      <c r="AH60" s="260"/>
      <c r="AI60" s="260"/>
      <c r="AJ60" s="260"/>
      <c r="AK60" s="260"/>
      <c r="AL60" s="260"/>
      <c r="AM60" s="260"/>
      <c r="AN60" s="260"/>
    </row>
    <row r="61" spans="1:64">
      <c r="A61" s="257">
        <v>49</v>
      </c>
      <c r="B61" s="258">
        <v>22</v>
      </c>
      <c r="C61" s="257" t="s">
        <v>292</v>
      </c>
      <c r="D61" s="257">
        <v>1.8016000000000001</v>
      </c>
      <c r="E61" s="257">
        <v>1.448</v>
      </c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</row>
    <row r="62" spans="1:64">
      <c r="A62" s="257">
        <v>51</v>
      </c>
      <c r="B62" s="257">
        <v>23</v>
      </c>
      <c r="C62" s="257" t="s">
        <v>176</v>
      </c>
      <c r="D62" s="257">
        <v>2.6400999999999999</v>
      </c>
      <c r="E62" s="257">
        <v>2.1840000000000002</v>
      </c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</row>
    <row r="63" spans="1:64">
      <c r="A63" s="257">
        <v>99</v>
      </c>
      <c r="B63" s="257">
        <v>46</v>
      </c>
      <c r="C63" s="257" t="s">
        <v>293</v>
      </c>
      <c r="D63" s="257">
        <v>2.4054000000000002</v>
      </c>
      <c r="E63" s="257">
        <v>1.8120000000000001</v>
      </c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</row>
    <row r="64" spans="1:64"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0"/>
      <c r="AJ64" s="260"/>
      <c r="AK64" s="260"/>
      <c r="AL64" s="260"/>
      <c r="AM64" s="260"/>
      <c r="AN64" s="260"/>
    </row>
    <row r="65" spans="21:40"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  <c r="AG65" s="260"/>
      <c r="AH65" s="260"/>
      <c r="AI65" s="260"/>
      <c r="AJ65" s="260"/>
      <c r="AK65" s="260"/>
      <c r="AL65" s="260"/>
      <c r="AM65" s="260"/>
      <c r="AN65" s="260"/>
    </row>
    <row r="66" spans="21:40"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</row>
    <row r="67" spans="21:40">
      <c r="X67" s="260"/>
      <c r="Y67" s="260"/>
      <c r="Z67" s="260"/>
      <c r="AA67" s="260"/>
      <c r="AB67" s="260"/>
      <c r="AC67" s="260"/>
      <c r="AD67" s="260"/>
      <c r="AE67" s="260"/>
      <c r="AF67" s="260"/>
      <c r="AG67" s="260"/>
      <c r="AH67" s="260"/>
      <c r="AI67" s="260"/>
      <c r="AJ67" s="260"/>
      <c r="AK67" s="260"/>
    </row>
    <row r="68" spans="21:40">
      <c r="U68" s="233"/>
      <c r="V68" s="233"/>
      <c r="W68" s="233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0"/>
      <c r="AJ68" s="260"/>
      <c r="AK68" s="260"/>
      <c r="AL68" s="233"/>
      <c r="AM68" s="233"/>
      <c r="AN68" s="233"/>
    </row>
    <row r="69" spans="21:40">
      <c r="X69" s="260"/>
      <c r="Y69" s="260"/>
      <c r="Z69" s="260"/>
      <c r="AA69" s="260"/>
      <c r="AB69" s="260"/>
      <c r="AC69" s="260"/>
      <c r="AD69" s="260"/>
      <c r="AE69" s="260"/>
      <c r="AF69" s="260"/>
      <c r="AG69" s="260"/>
      <c r="AH69" s="260"/>
      <c r="AI69" s="260"/>
      <c r="AJ69" s="260"/>
      <c r="AK69" s="260"/>
    </row>
    <row r="71" spans="21:40"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101</vt:i4>
      </vt:variant>
    </vt:vector>
  </HeadingPairs>
  <TitlesOfParts>
    <vt:vector size="115" baseType="lpstr">
      <vt:lpstr>Instructions</vt:lpstr>
      <vt:lpstr>Margules</vt:lpstr>
      <vt:lpstr>Regular</vt:lpstr>
      <vt:lpstr>NRTL</vt:lpstr>
      <vt:lpstr>NRTL5</vt:lpstr>
      <vt:lpstr>UNIQUAC</vt:lpstr>
      <vt:lpstr>UNIQUAC5</vt:lpstr>
      <vt:lpstr>UNIFAC (VLE)</vt:lpstr>
      <vt:lpstr>aij-UNIFAC (VLE)</vt:lpstr>
      <vt:lpstr>UNIFAC (LLEa)</vt:lpstr>
      <vt:lpstr>UNIFAC (LLEb)</vt:lpstr>
      <vt:lpstr>aij-UNIFAC (LLE)</vt:lpstr>
      <vt:lpstr>revisions</vt:lpstr>
      <vt:lpstr>LLE</vt:lpstr>
      <vt:lpstr>_del1</vt:lpstr>
      <vt:lpstr>_del2</vt:lpstr>
      <vt:lpstr>UNIQUAC!_l1</vt:lpstr>
      <vt:lpstr>UNIQUAC!_l2</vt:lpstr>
      <vt:lpstr>UNIQUAC!_lf1</vt:lpstr>
      <vt:lpstr>UNIQUAC!_lf2</vt:lpstr>
      <vt:lpstr>UNIQUAC!_phi1</vt:lpstr>
      <vt:lpstr>UNIQUAC!_phi2</vt:lpstr>
      <vt:lpstr>_Q</vt:lpstr>
      <vt:lpstr>UNIQUAC!_q1</vt:lpstr>
      <vt:lpstr>UNIQUAC!_q2</vt:lpstr>
      <vt:lpstr>_QL</vt:lpstr>
      <vt:lpstr>UNIQUAC!_qp1</vt:lpstr>
      <vt:lpstr>UNIQUAC!_qp2</vt:lpstr>
      <vt:lpstr>_R</vt:lpstr>
      <vt:lpstr>UNIQUAC!_r1</vt:lpstr>
      <vt:lpstr>UNIQUAC!_r2</vt:lpstr>
      <vt:lpstr>_RL</vt:lpstr>
      <vt:lpstr>_T</vt:lpstr>
      <vt:lpstr>_T.</vt:lpstr>
      <vt:lpstr>UNIQUAC!_tau12</vt:lpstr>
      <vt:lpstr>UNIQUAC!_tau21</vt:lpstr>
      <vt:lpstr>UNIQUAC!_x1</vt:lpstr>
      <vt:lpstr>UNIQUAC!_x2</vt:lpstr>
      <vt:lpstr>A.</vt:lpstr>
      <vt:lpstr>A12_</vt:lpstr>
      <vt:lpstr>A12.</vt:lpstr>
      <vt:lpstr>A12..</vt:lpstr>
      <vt:lpstr>A21_</vt:lpstr>
      <vt:lpstr>A21.</vt:lpstr>
      <vt:lpstr>A21..</vt:lpstr>
      <vt:lpstr>act</vt:lpstr>
      <vt:lpstr>Margules!activity1</vt:lpstr>
      <vt:lpstr>Margules!activity2</vt:lpstr>
      <vt:lpstr>B.</vt:lpstr>
      <vt:lpstr>C.</vt:lpstr>
      <vt:lpstr>column</vt:lpstr>
      <vt:lpstr>g.</vt:lpstr>
      <vt:lpstr>g12.</vt:lpstr>
      <vt:lpstr>g21.</vt:lpstr>
      <vt:lpstr>galpha</vt:lpstr>
      <vt:lpstr>gam1.</vt:lpstr>
      <vt:lpstr>gam1..</vt:lpstr>
      <vt:lpstr>gam1...</vt:lpstr>
      <vt:lpstr>gam2.</vt:lpstr>
      <vt:lpstr>gam2..</vt:lpstr>
      <vt:lpstr>gam2...</vt:lpstr>
      <vt:lpstr>gamma1_</vt:lpstr>
      <vt:lpstr>Margules!gamma2_</vt:lpstr>
      <vt:lpstr>UNIQUAC5!gbeta</vt:lpstr>
      <vt:lpstr>MGaij</vt:lpstr>
      <vt:lpstr>P1sat.</vt:lpstr>
      <vt:lpstr>P1sat..</vt:lpstr>
      <vt:lpstr>P1sat...</vt:lpstr>
      <vt:lpstr>P2sat.</vt:lpstr>
      <vt:lpstr>P2sat..</vt:lpstr>
      <vt:lpstr>P2sat...</vt:lpstr>
      <vt:lpstr>Pexpt</vt:lpstr>
      <vt:lpstr>phir1</vt:lpstr>
      <vt:lpstr>Psat</vt:lpstr>
      <vt:lpstr>q</vt:lpstr>
      <vt:lpstr>'UNIFAC (LLEb)'!qL</vt:lpstr>
      <vt:lpstr>qL</vt:lpstr>
      <vt:lpstr>row</vt:lpstr>
      <vt:lpstr>T</vt:lpstr>
      <vt:lpstr>'UNIFAC (VLE)'!T_</vt:lpstr>
      <vt:lpstr>T.</vt:lpstr>
      <vt:lpstr>T..</vt:lpstr>
      <vt:lpstr>T...</vt:lpstr>
      <vt:lpstr>t12.</vt:lpstr>
      <vt:lpstr>t21.</vt:lpstr>
      <vt:lpstr>tau</vt:lpstr>
      <vt:lpstr>tauL</vt:lpstr>
      <vt:lpstr>'UNIFAC (LLEa)'!TC.</vt:lpstr>
      <vt:lpstr>'UNIFAC (LLEb)'!TC..</vt:lpstr>
      <vt:lpstr>UNIQUAC!theta1</vt:lpstr>
      <vt:lpstr>UNIQUAC!theta2</vt:lpstr>
      <vt:lpstr>UNIQUAC!thetap1</vt:lpstr>
      <vt:lpstr>UNIQUAC!thetap2</vt:lpstr>
      <vt:lpstr>UNIQUAC!TK</vt:lpstr>
      <vt:lpstr>TK</vt:lpstr>
      <vt:lpstr>V1_</vt:lpstr>
      <vt:lpstr>V2_</vt:lpstr>
      <vt:lpstr>x.</vt:lpstr>
      <vt:lpstr>x1_</vt:lpstr>
      <vt:lpstr>x1__</vt:lpstr>
      <vt:lpstr>NRTL!x1.</vt:lpstr>
      <vt:lpstr>x1.</vt:lpstr>
      <vt:lpstr>x1..</vt:lpstr>
      <vt:lpstr>x1...</vt:lpstr>
      <vt:lpstr>x2_</vt:lpstr>
      <vt:lpstr>x2.</vt:lpstr>
      <vt:lpstr>UNIQUAC5!xalpha</vt:lpstr>
      <vt:lpstr>UNIQUAC5!xbeta</vt:lpstr>
      <vt:lpstr>'UNIFAC (LLEb)'!XL</vt:lpstr>
      <vt:lpstr>y1.</vt:lpstr>
      <vt:lpstr>y1..</vt:lpstr>
      <vt:lpstr>y1...</vt:lpstr>
      <vt:lpstr>y2.</vt:lpstr>
      <vt:lpstr>y2..</vt:lpstr>
      <vt:lpstr>y2...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Lira</dc:creator>
  <cp:lastModifiedBy>Microsoft Office User</cp:lastModifiedBy>
  <cp:lastPrinted>1999-12-22T07:05:21Z</cp:lastPrinted>
  <dcterms:created xsi:type="dcterms:W3CDTF">1997-12-10T20:16:28Z</dcterms:created>
  <dcterms:modified xsi:type="dcterms:W3CDTF">2020-04-15T01:47:27Z</dcterms:modified>
</cp:coreProperties>
</file>